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\RTK\Kasutajad\Lia.Hussar\personal\RETA 2022\"/>
    </mc:Choice>
  </mc:AlternateContent>
  <xr:revisionPtr revIDLastSave="0" documentId="13_ncr:1_{EDD941CA-C0D4-4F45-995B-070D8B99E2F9}" xr6:coauthVersionLast="47" xr6:coauthVersionMax="47" xr10:uidLastSave="{00000000-0000-0000-0000-000000000000}"/>
  <bookViews>
    <workbookView xWindow="22932" yWindow="-108" windowWidth="30936" windowHeight="16896" xr2:uid="{4D1749CD-7348-40E3-9063-2FA36ECE44CB}"/>
  </bookViews>
  <sheets>
    <sheet name="aruanne" sheetId="1" r:id="rId1"/>
    <sheet name="Lisa1" sheetId="4" r:id="rId2"/>
    <sheet name="Lisa2" sheetId="2" r:id="rId3"/>
  </sheets>
  <definedNames>
    <definedName name="_xlnm._FilterDatabase" localSheetId="2" hidden="1">Lisa2!$A$4:$O$4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60" i="1"/>
  <c r="D84" i="1"/>
  <c r="D80" i="1"/>
  <c r="D68" i="1" s="1"/>
  <c r="D102" i="1"/>
  <c r="D92" i="1"/>
  <c r="D69" i="1"/>
  <c r="D70" i="1"/>
  <c r="D90" i="1"/>
  <c r="D103" i="1"/>
  <c r="F12" i="1"/>
  <c r="E12" i="1"/>
  <c r="C12" i="1"/>
  <c r="D61" i="1" l="1"/>
  <c r="D63" i="1"/>
  <c r="D62" i="1"/>
  <c r="D65" i="1" l="1"/>
  <c r="D64" i="1"/>
  <c r="D106" i="1"/>
  <c r="D30" i="1"/>
  <c r="D108" i="1"/>
  <c r="D110" i="1"/>
  <c r="D109" i="1"/>
  <c r="D98" i="1" l="1"/>
  <c r="D94" i="1"/>
  <c r="D88" i="1"/>
  <c r="D86" i="1"/>
  <c r="D72" i="1"/>
  <c r="D66" i="1"/>
  <c r="D58" i="1"/>
  <c r="D56" i="1"/>
  <c r="D54" i="1"/>
  <c r="D48" i="1"/>
  <c r="D44" i="1"/>
  <c r="D40" i="1"/>
  <c r="D36" i="1"/>
  <c r="D28" i="1"/>
  <c r="D18" i="1"/>
  <c r="D83" i="1"/>
  <c r="D77" i="1" l="1"/>
  <c r="D31" i="1"/>
  <c r="D25" i="1"/>
  <c r="D21" i="1"/>
  <c r="E115" i="1" l="1"/>
  <c r="D74" i="1" l="1"/>
  <c r="D96" i="1" l="1"/>
  <c r="D104" i="1"/>
  <c r="D100" i="1"/>
  <c r="D82" i="1"/>
  <c r="D78" i="1"/>
  <c r="D76" i="1"/>
  <c r="D50" i="1"/>
  <c r="D42" i="1"/>
  <c r="D38" i="1"/>
  <c r="D32" i="1"/>
  <c r="D24" i="1"/>
  <c r="D22" i="1"/>
  <c r="D20" i="1"/>
  <c r="D19" i="1"/>
  <c r="E109" i="1"/>
  <c r="D111" i="1"/>
  <c r="D105" i="1"/>
  <c r="D107" i="1"/>
  <c r="D67" i="1"/>
  <c r="D91" i="1"/>
  <c r="D79" i="1"/>
  <c r="D59" i="1"/>
  <c r="D57" i="1"/>
  <c r="D55" i="1"/>
  <c r="D51" i="1"/>
  <c r="D49" i="1"/>
  <c r="D43" i="1"/>
  <c r="D41" i="1"/>
  <c r="D39" i="1"/>
  <c r="D37" i="1"/>
  <c r="D29" i="1"/>
  <c r="D23" i="1"/>
  <c r="D101" i="1" l="1"/>
  <c r="D99" i="1"/>
  <c r="D97" i="1"/>
  <c r="D95" i="1"/>
  <c r="D89" i="1"/>
  <c r="D87" i="1"/>
  <c r="D85" i="1"/>
  <c r="D75" i="1"/>
  <c r="D73" i="1"/>
  <c r="C14" i="4" l="1"/>
  <c r="E8" i="1" l="1"/>
  <c r="C14" i="2" l="1"/>
  <c r="C5" i="2"/>
  <c r="E113" i="1"/>
  <c r="E7" i="1" l="1"/>
  <c r="E118" i="1"/>
  <c r="C18" i="2"/>
  <c r="C11" i="2"/>
  <c r="C7" i="2"/>
  <c r="E20" i="2"/>
  <c r="E15" i="2"/>
  <c r="E12" i="2"/>
  <c r="E11" i="1"/>
  <c r="G111" i="1" l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1" i="1"/>
  <c r="G90" i="1"/>
  <c r="G89" i="1"/>
  <c r="G88" i="1"/>
  <c r="G87" i="1"/>
  <c r="G86" i="1"/>
  <c r="G85" i="1"/>
  <c r="G84" i="1"/>
  <c r="G83" i="1"/>
  <c r="G82" i="1"/>
  <c r="G79" i="1"/>
  <c r="G78" i="1"/>
  <c r="G77" i="1"/>
  <c r="G76" i="1"/>
  <c r="G75" i="1"/>
  <c r="G74" i="1"/>
  <c r="G73" i="1"/>
  <c r="G72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1" i="1"/>
  <c r="G50" i="1"/>
  <c r="G49" i="1"/>
  <c r="G48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8" i="1"/>
  <c r="G25" i="1"/>
  <c r="G24" i="1"/>
  <c r="G23" i="1"/>
  <c r="G22" i="1"/>
  <c r="G21" i="1"/>
  <c r="G20" i="1"/>
  <c r="G19" i="1"/>
  <c r="G18" i="1"/>
  <c r="D11" i="1"/>
  <c r="D10" i="1"/>
  <c r="D9" i="1"/>
  <c r="D8" i="1"/>
  <c r="D7" i="1"/>
  <c r="D6" i="1"/>
  <c r="D19" i="2"/>
  <c r="E19" i="2" s="1"/>
  <c r="D18" i="2"/>
  <c r="E18" i="2" s="1"/>
  <c r="D17" i="2"/>
  <c r="E17" i="2" s="1"/>
  <c r="D16" i="2"/>
  <c r="E16" i="2" s="1"/>
  <c r="D13" i="2"/>
  <c r="E13" i="2" s="1"/>
  <c r="D11" i="2"/>
  <c r="E11" i="2" s="1"/>
  <c r="D10" i="2"/>
  <c r="E10" i="2" s="1"/>
  <c r="D9" i="2"/>
  <c r="E9" i="2" s="1"/>
  <c r="D8" i="2"/>
  <c r="E8" i="2" s="1"/>
  <c r="D7" i="2"/>
  <c r="E7" i="2" s="1"/>
  <c r="D6" i="2"/>
  <c r="D5" i="2"/>
  <c r="E5" i="2" s="1"/>
  <c r="H19" i="2"/>
  <c r="I19" i="2" s="1"/>
  <c r="H17" i="2"/>
  <c r="G17" i="2"/>
  <c r="G14" i="2" s="1"/>
  <c r="F17" i="1"/>
  <c r="F16" i="1"/>
  <c r="G8" i="1" l="1"/>
  <c r="G9" i="1"/>
  <c r="G10" i="1"/>
  <c r="G11" i="1"/>
  <c r="G6" i="1"/>
  <c r="G7" i="1"/>
  <c r="G30" i="1"/>
  <c r="I17" i="2"/>
  <c r="G93" i="1"/>
  <c r="G92" i="1"/>
  <c r="E93" i="1"/>
  <c r="D93" i="1"/>
  <c r="E92" i="1"/>
  <c r="C93" i="1"/>
  <c r="C92" i="1"/>
  <c r="F109" i="1"/>
  <c r="F93" i="1"/>
  <c r="F92" i="1"/>
  <c r="G81" i="1"/>
  <c r="G80" i="1"/>
  <c r="E81" i="1"/>
  <c r="D81" i="1"/>
  <c r="E80" i="1"/>
  <c r="C81" i="1"/>
  <c r="C80" i="1"/>
  <c r="F81" i="1"/>
  <c r="F80" i="1"/>
  <c r="G71" i="1"/>
  <c r="G70" i="1"/>
  <c r="E71" i="1"/>
  <c r="D71" i="1"/>
  <c r="E70" i="1"/>
  <c r="C71" i="1"/>
  <c r="C70" i="1"/>
  <c r="F71" i="1"/>
  <c r="F70" i="1"/>
  <c r="G53" i="1"/>
  <c r="G52" i="1"/>
  <c r="E53" i="1"/>
  <c r="D53" i="1"/>
  <c r="E52" i="1"/>
  <c r="D52" i="1"/>
  <c r="C53" i="1"/>
  <c r="C52" i="1"/>
  <c r="F53" i="1"/>
  <c r="F52" i="1"/>
  <c r="G47" i="1"/>
  <c r="G46" i="1"/>
  <c r="E47" i="1"/>
  <c r="D47" i="1"/>
  <c r="E46" i="1"/>
  <c r="D46" i="1"/>
  <c r="C47" i="1"/>
  <c r="C46" i="1"/>
  <c r="F47" i="1"/>
  <c r="F46" i="1"/>
  <c r="G35" i="1"/>
  <c r="G34" i="1"/>
  <c r="E35" i="1"/>
  <c r="D35" i="1"/>
  <c r="E34" i="1"/>
  <c r="D34" i="1"/>
  <c r="C35" i="1"/>
  <c r="C34" i="1"/>
  <c r="F35" i="1"/>
  <c r="F34" i="1"/>
  <c r="G27" i="1"/>
  <c r="E27" i="1"/>
  <c r="D27" i="1"/>
  <c r="E26" i="1"/>
  <c r="D26" i="1"/>
  <c r="C27" i="1"/>
  <c r="C26" i="1"/>
  <c r="F27" i="1"/>
  <c r="F26" i="1"/>
  <c r="G17" i="1"/>
  <c r="G16" i="1"/>
  <c r="E17" i="1"/>
  <c r="D17" i="1"/>
  <c r="E16" i="1"/>
  <c r="D16" i="1"/>
  <c r="C17" i="1"/>
  <c r="C16" i="1"/>
  <c r="E68" i="1" l="1"/>
  <c r="G26" i="1"/>
  <c r="G14" i="1" s="1"/>
  <c r="H18" i="2"/>
  <c r="F15" i="1"/>
  <c r="F69" i="1"/>
  <c r="G69" i="1"/>
  <c r="E14" i="1"/>
  <c r="F14" i="1"/>
  <c r="E15" i="1"/>
  <c r="E69" i="1"/>
  <c r="D15" i="1"/>
  <c r="F68" i="1"/>
  <c r="G68" i="1"/>
  <c r="G12" i="1" s="1"/>
  <c r="G15" i="1"/>
  <c r="C69" i="1"/>
  <c r="C68" i="1"/>
  <c r="C15" i="1"/>
  <c r="C14" i="1"/>
  <c r="E5" i="1"/>
  <c r="D5" i="1"/>
  <c r="C5" i="1"/>
  <c r="G5" i="1"/>
  <c r="F7" i="1"/>
  <c r="H10" i="2"/>
  <c r="I10" i="2" s="1"/>
  <c r="H9" i="2"/>
  <c r="I9" i="2" s="1"/>
  <c r="H6" i="2"/>
  <c r="G11" i="2"/>
  <c r="F8" i="1"/>
  <c r="F11" i="1"/>
  <c r="H7" i="2" l="1"/>
  <c r="I7" i="2" s="1"/>
  <c r="H8" i="2"/>
  <c r="I8" i="2" s="1"/>
  <c r="H11" i="2"/>
  <c r="I11" i="2" s="1"/>
  <c r="F5" i="1"/>
  <c r="C7" i="4" l="1"/>
  <c r="E14" i="2"/>
  <c r="G18" i="2" l="1"/>
  <c r="I18" i="2" s="1"/>
  <c r="F115" i="1" l="1"/>
  <c r="F113" i="1"/>
  <c r="H5" i="2" s="1"/>
  <c r="I5" i="2" s="1"/>
  <c r="F112" i="1" l="1"/>
  <c r="B7" i="4" l="1"/>
  <c r="B30" i="4" l="1"/>
  <c r="H16" i="2" l="1"/>
  <c r="I16" i="2" s="1"/>
  <c r="H13" i="2"/>
  <c r="I13" i="2" s="1"/>
  <c r="E6" i="2"/>
  <c r="I20" i="2"/>
  <c r="I15" i="2"/>
  <c r="I12" i="2"/>
  <c r="E112" i="1"/>
  <c r="B31" i="4" l="1"/>
  <c r="B32" i="4" s="1"/>
  <c r="C30" i="4" l="1"/>
  <c r="C3" i="2"/>
  <c r="I6" i="2"/>
  <c r="G3" i="2"/>
  <c r="C32" i="4" l="1"/>
  <c r="D3" i="2"/>
  <c r="H3" i="2" l="1"/>
  <c r="E3" i="2"/>
  <c r="I14" i="2"/>
  <c r="I3" i="2" l="1"/>
</calcChain>
</file>

<file path=xl/sharedStrings.xml><?xml version="1.0" encoding="utf-8"?>
<sst xmlns="http://schemas.openxmlformats.org/spreadsheetml/2006/main" count="208" uniqueCount="134">
  <si>
    <t>eurodes</t>
  </si>
  <si>
    <t>Algne eelarve</t>
  </si>
  <si>
    <t>Lõplik eelarve</t>
  </si>
  <si>
    <t>Täitmine 2021</t>
  </si>
  <si>
    <t>Täitmine miinus lõplik eelarve</t>
  </si>
  <si>
    <t>Maksud ja sotsiaalkindlustusmaksed</t>
  </si>
  <si>
    <t>Saadud toetused</t>
  </si>
  <si>
    <t>Riigilõivud</t>
  </si>
  <si>
    <t>Tulu majandustegevusest</t>
  </si>
  <si>
    <t>Trahvid ja muud varalised karistused</t>
  </si>
  <si>
    <t>sh piirmääraga vahendid</t>
  </si>
  <si>
    <t>Mitterahaliselt antud toetused</t>
  </si>
  <si>
    <t xml:space="preserve">TULUD </t>
  </si>
  <si>
    <t>KULUD</t>
  </si>
  <si>
    <t xml:space="preserve">INVESTEERINGUD </t>
  </si>
  <si>
    <t>KORRIGEERIMISED</t>
  </si>
  <si>
    <t>Kontroll</t>
  </si>
  <si>
    <t>Investeeringud</t>
  </si>
  <si>
    <t>Tulem osaluste ümberhindamisest</t>
  </si>
  <si>
    <t>Edasiantud maksutulu, tekkepõhise ja kassapõhise kulu vahe</t>
  </si>
  <si>
    <t>Ebatõenäoliselt laekuvad arved, tulu taastamine</t>
  </si>
  <si>
    <t>Ebatõenäoliselt laekuvad arved, kulu taastamine</t>
  </si>
  <si>
    <t>Saadud välistoetuste kaasrahastamine teistelt riigiasutustelt</t>
  </si>
  <si>
    <t>Laste ja perede programm</t>
  </si>
  <si>
    <t>Tulemusvaldkond: HEAOLU</t>
  </si>
  <si>
    <t xml:space="preserve">Tööturuprogramm </t>
  </si>
  <si>
    <t>Sotsiaalkindlustuse programm</t>
  </si>
  <si>
    <t>Soolise võrdõiguslikkuse programm</t>
  </si>
  <si>
    <t>Tulemusvaldkond: TERVIS</t>
  </si>
  <si>
    <t>Tervist toetava keskkonna programm</t>
  </si>
  <si>
    <t>Tervist toetavate valikute programm</t>
  </si>
  <si>
    <t>Inimkeskse tervishoiu programm</t>
  </si>
  <si>
    <t>Eraldistelt arvestatud intressikulu</t>
  </si>
  <si>
    <t>Pensionieraldiste moodustamine</t>
  </si>
  <si>
    <t>Pensionieraldiste väljamaksed, elimineerimine kuludest</t>
  </si>
  <si>
    <t xml:space="preserve">Lisa </t>
  </si>
  <si>
    <t>Eelarve täitmise ja raamatupidamisaruannete võrdlus</t>
  </si>
  <si>
    <t>Kirje</t>
  </si>
  <si>
    <t>Raamatupidamisandmed 2021</t>
  </si>
  <si>
    <t>RE aruanne 2021</t>
  </si>
  <si>
    <t>Vahe 2021</t>
  </si>
  <si>
    <t>Selgitus</t>
  </si>
  <si>
    <t>Finantstulud</t>
  </si>
  <si>
    <t>Finantskulud</t>
  </si>
  <si>
    <t>3sisesed</t>
  </si>
  <si>
    <t>4,5,6sisesed</t>
  </si>
  <si>
    <t>15ettemaksed</t>
  </si>
  <si>
    <t>SOM</t>
  </si>
  <si>
    <t>Lõpliku eelarve kujunemine</t>
  </si>
  <si>
    <t>Tulud</t>
  </si>
  <si>
    <t>Esialgne eelarve</t>
  </si>
  <si>
    <t>Üle toodud eelmisest aastast</t>
  </si>
  <si>
    <t>Muudatused lisaeelarve seaduse alusel</t>
  </si>
  <si>
    <t>Muudatused riigieelarve seaduse muutmise seaduse alusel</t>
  </si>
  <si>
    <t>Muudatused Vabariigi Valitsuse korraldused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</si>
  <si>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</si>
  <si>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</si>
  <si>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</si>
  <si>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</si>
  <si>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</si>
  <si>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</si>
  <si>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</si>
  <si>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</si>
  <si>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</si>
  <si>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Muud tuludest sõltuvad kulud</t>
  </si>
  <si>
    <t>Eelarves kavandatud edasiantavad maksud</t>
  </si>
  <si>
    <t>Tegelikud edasiantavad maksud</t>
  </si>
  <si>
    <t xml:space="preserve">Saadud Vabariigi Valitsuse reservfondist </t>
  </si>
  <si>
    <t>Antud Vabariigi valitsuse reservfondi</t>
  </si>
  <si>
    <t>Saadud omandireformi reservfondist</t>
  </si>
  <si>
    <t>Kokku lõplik eelarve</t>
  </si>
  <si>
    <t>Käibemaks</t>
  </si>
  <si>
    <t>Käibemaksukulu tegevuskuludelt</t>
  </si>
  <si>
    <t>Muud tulud</t>
  </si>
  <si>
    <t>Kogumispensioni 4% väljamaksed eelarve kuludes, elimineerimine</t>
  </si>
  <si>
    <t xml:space="preserve">Teistele valitsemisaladele vahendatud välistoetused ja kaasfinantseerimine </t>
  </si>
  <si>
    <t>Teistele valitsemisaladele vahendatud välistoetused (tulu taastamine)</t>
  </si>
  <si>
    <t>Eelarves kavandatud välistoetuste kaasrahastamine</t>
  </si>
  <si>
    <t>Tegelik välistoetuste kaasrahastamine</t>
  </si>
  <si>
    <t>Täitmine 2022</t>
  </si>
  <si>
    <t>2022. aasta riigieelarve täitmise arunne</t>
  </si>
  <si>
    <t>Raamatupidamisandmed 2022</t>
  </si>
  <si>
    <t>RE aruanne 2022</t>
  </si>
  <si>
    <t>Vahe 2022</t>
  </si>
  <si>
    <t>sh käibemaks</t>
  </si>
  <si>
    <t>Käibemaksukulu investeeringutelt</t>
  </si>
  <si>
    <t>Tegevuskulud, v.a käibemaksukulu</t>
  </si>
  <si>
    <t>Tulu põhivarade ja varude müügist</t>
  </si>
  <si>
    <t>Kulud, investeeringud</t>
  </si>
  <si>
    <t xml:space="preserve">SOTSIAALMINISTEERIUMI valitsemisala </t>
  </si>
  <si>
    <t>Hoolekandeprogramm</t>
  </si>
  <si>
    <t>Tööturuvaldkonna arendamine</t>
  </si>
  <si>
    <t>Aktiivsed ja passiivsed tööturuteenused</t>
  </si>
  <si>
    <t>Tööelu kvaliteet</t>
  </si>
  <si>
    <t>Erivajadustega inimeste toimetulek ja tööalane tegevus</t>
  </si>
  <si>
    <t>Sotsiaalkindlustuse valdkonna arendamine</t>
  </si>
  <si>
    <t>Pensionid, toetused ja hüvitised</t>
  </si>
  <si>
    <t>Muu materiaalne abi inimestele</t>
  </si>
  <si>
    <t>Hoolekandevaldkonna arendamine</t>
  </si>
  <si>
    <t>Sotsiaalhoolekandeteenused</t>
  </si>
  <si>
    <t>Ohvriabi arendamine</t>
  </si>
  <si>
    <t>Teenused ohvritele ja vägivallatsejatele</t>
  </si>
  <si>
    <t>Võrdse kohtlemise ja võrdsete võimaluste arendamine</t>
  </si>
  <si>
    <t>Soolise võrdõiguslikkuse valdkonna arendamine</t>
  </si>
  <si>
    <t>Soolise võrdõiguslikkuse ja võrdse kohtlemise volinik</t>
  </si>
  <si>
    <t>Laste ja perede valdkonna arendamine</t>
  </si>
  <si>
    <t>Toimiv lastekaitsesüsteem</t>
  </si>
  <si>
    <t>Vanemlike oskuste arendamine</t>
  </si>
  <si>
    <t>Puudega laste toetamine</t>
  </si>
  <si>
    <t>Asendushooldus ja perepõhine asendushooldus</t>
  </si>
  <si>
    <t>Riskikäitumisega noorte toetamine</t>
  </si>
  <si>
    <t>Hüvitised ja toetused lastele ja peredele</t>
  </si>
  <si>
    <t>Tervist toetava ning parendava keskkonna kujundamine</t>
  </si>
  <si>
    <t>Vee, õhu ning müra ja kiirgusega seotud terviseriskid</t>
  </si>
  <si>
    <t>Kemikaalide ohutus ja riskide vähendamine</t>
  </si>
  <si>
    <t>Toodete ja teenuste ohutus ja riskide vähendamine</t>
  </si>
  <si>
    <t>Vaimse tervise edendamine</t>
  </si>
  <si>
    <t>Tasakaalustatud toitumise ja füüsilise aktiivsuse edendamine</t>
  </si>
  <si>
    <t>Uimastite tarvitamise ennetamine ja vähendamine</t>
  </si>
  <si>
    <t>Nakkushaiguste leviku tõkestamine (HIV, TB ja hepatiidid)</t>
  </si>
  <si>
    <t>Terviseriskide ennetamise ja tervise edendamise korraldamine</t>
  </si>
  <si>
    <t>Inimkeskse tervishoiu valdkonna arendamine</t>
  </si>
  <si>
    <t>Personali võimekus, juhtimine ja vastutus</t>
  </si>
  <si>
    <t>Teenuste mudelite ümberkujundamine</t>
  </si>
  <si>
    <t>Tervisesüsteemi kvaliteet ja patsiendiohutus</t>
  </si>
  <si>
    <t>Ravimite ja meditsiiniseadmete valdkonna arendamine</t>
  </si>
  <si>
    <t>Ravimite, verepreparaatide ja meditsiiniseadmete kättesaadavus</t>
  </si>
  <si>
    <t>Nakkushaiguste leviku tõkestamine (vaktsineerimine, AMR)</t>
  </si>
  <si>
    <t>Statistiliste ühikute müügi tulu ümbertõstmine</t>
  </si>
  <si>
    <t>Kogumispensioni 4% maksete peatamise ja tootluse kulu</t>
  </si>
  <si>
    <t xml:space="preserve">                                                                                                                                                                                   </t>
  </si>
  <si>
    <t>Saldoandmik</t>
  </si>
  <si>
    <t>Lisa1</t>
  </si>
  <si>
    <t>Lisa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</si>
</sst>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color theme="1"/>
      <name val="Cambria"/>
      <family val="1"/>
      <charset val="186"/>
    </font>
    <font>
      <sz val="9"/>
      <color theme="1"/>
      <name val="Cambria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3" fontId="0" fillId="0" borderId="0" xfId="0" applyNumberFormat="1"/>
    <xf numFmtId="3" fontId="5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0" fillId="0" borderId="0" xfId="0" applyFont="1"/>
    <xf numFmtId="3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8" fillId="0" borderId="0" xfId="0" applyFont="1"/>
    <xf numFmtId="0" fontId="12" fillId="0" borderId="0" xfId="0" applyFont="1"/>
    <xf numFmtId="3" fontId="12" fillId="0" borderId="0" xfId="0" applyNumberFormat="1" applyFont="1" applyAlignment="1">
      <alignment vertical="top"/>
    </xf>
    <xf numFmtId="0" fontId="12" fillId="0" borderId="1" xfId="0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12" fillId="0" borderId="1" xfId="0" applyFont="1" applyBorder="1"/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3" fontId="12" fillId="0" borderId="0" xfId="0" applyNumberFormat="1" applyFont="1"/>
    <xf numFmtId="0" fontId="11" fillId="0" borderId="0" xfId="0" applyFont="1"/>
    <xf numFmtId="0" fontId="14" fillId="0" borderId="0" xfId="0" applyFont="1"/>
    <xf numFmtId="4" fontId="0" fillId="0" borderId="0" xfId="0" applyNumberFormat="1" applyAlignment="1">
      <alignment horizontal="right"/>
    </xf>
    <xf numFmtId="3" fontId="5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8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3" fontId="8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14" fillId="0" borderId="0" xfId="0" applyFont="1" applyAlignment="1"/>
    <xf numFmtId="43" fontId="1" fillId="0" borderId="0" xfId="6" applyFont="1"/>
    <xf numFmtId="0" fontId="0" fillId="0" borderId="0" xfId="0" applyFont="1"/>
    <xf numFmtId="43" fontId="11" fillId="0" borderId="0" xfId="6" applyFont="1"/>
    <xf numFmtId="0" fontId="13" fillId="0" borderId="0" xfId="0" applyFont="1" applyAlignment="1"/>
    <xf numFmtId="0" fontId="0" fillId="0" borderId="0" xfId="0" applyAlignment="1"/>
    <xf numFmtId="3" fontId="4" fillId="0" borderId="0" xfId="0" applyNumberFormat="1" applyFont="1" applyAlignment="1"/>
    <xf numFmtId="3" fontId="0" fillId="0" borderId="0" xfId="0" applyNumberFormat="1" applyAlignment="1"/>
    <xf numFmtId="3" fontId="5" fillId="0" borderId="0" xfId="0" applyNumberFormat="1" applyFont="1" applyAlignment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5" fillId="0" borderId="1" xfId="0" applyFont="1" applyBorder="1" applyAlignment="1"/>
    <xf numFmtId="0" fontId="5" fillId="0" borderId="1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/>
    <xf numFmtId="3" fontId="13" fillId="0" borderId="0" xfId="0" applyNumberFormat="1" applyFont="1" applyFill="1" applyBorder="1" applyAlignment="1">
      <alignment horizontal="center" wrapText="1"/>
    </xf>
    <xf numFmtId="0" fontId="13" fillId="0" borderId="0" xfId="2" applyFont="1" applyFill="1" applyBorder="1" applyAlignment="1" applyProtection="1">
      <alignment horizontal="left"/>
      <protection locked="0"/>
    </xf>
    <xf numFmtId="3" fontId="14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2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/>
    <xf numFmtId="0" fontId="14" fillId="0" borderId="0" xfId="0" applyFont="1" applyFill="1" applyBorder="1" applyAlignment="1" applyProtection="1">
      <protection locked="0"/>
    </xf>
    <xf numFmtId="3" fontId="13" fillId="0" borderId="0" xfId="0" applyNumberFormat="1" applyFont="1" applyFill="1" applyBorder="1" applyAlignment="1">
      <alignment horizontal="left"/>
    </xf>
    <xf numFmtId="0" fontId="13" fillId="0" borderId="0" xfId="1" applyFont="1" applyFill="1" applyBorder="1" applyAlignment="1" applyProtection="1">
      <alignment horizontal="left"/>
      <protection locked="0"/>
    </xf>
    <xf numFmtId="0" fontId="14" fillId="0" borderId="0" xfId="1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>
      <alignment horizontal="center"/>
    </xf>
    <xf numFmtId="43" fontId="1" fillId="0" borderId="0" xfId="6" applyFont="1" applyFill="1"/>
    <xf numFmtId="43" fontId="0" fillId="0" borderId="0" xfId="6" applyFont="1" applyFill="1"/>
    <xf numFmtId="43" fontId="11" fillId="0" borderId="0" xfId="6" applyFont="1" applyFill="1"/>
    <xf numFmtId="0" fontId="5" fillId="0" borderId="1" xfId="2" applyFont="1" applyFill="1" applyBorder="1" applyAlignment="1" applyProtection="1">
      <alignment horizontal="left"/>
      <protection locked="0"/>
    </xf>
    <xf numFmtId="4" fontId="0" fillId="0" borderId="0" xfId="0" applyNumberFormat="1" applyFill="1" applyAlignment="1">
      <alignment horizontal="right"/>
    </xf>
    <xf numFmtId="3" fontId="12" fillId="0" borderId="1" xfId="0" applyNumberFormat="1" applyFont="1" applyFill="1" applyBorder="1" applyAlignment="1">
      <alignment vertical="top"/>
    </xf>
    <xf numFmtId="3" fontId="6" fillId="2" borderId="1" xfId="0" applyNumberFormat="1" applyFont="1" applyFill="1" applyBorder="1" applyAlignment="1">
      <alignment horizontal="right"/>
    </xf>
    <xf numFmtId="0" fontId="3" fillId="2" borderId="1" xfId="2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3" fontId="7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5" fillId="2" borderId="1" xfId="2" applyNumberFormat="1" applyFont="1" applyFill="1" applyBorder="1" applyAlignment="1" applyProtection="1">
      <alignment horizontal="right"/>
      <protection locked="0"/>
    </xf>
    <xf numFmtId="3" fontId="5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1" applyFont="1" applyFill="1" applyBorder="1" applyAlignment="1" applyProtection="1">
      <alignment horizontal="left"/>
      <protection locked="0"/>
    </xf>
    <xf numFmtId="3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0" borderId="0" xfId="0" applyFont="1" applyFill="1"/>
    <xf numFmtId="0" fontId="0" fillId="0" borderId="0" xfId="0" applyFill="1"/>
    <xf numFmtId="0" fontId="3" fillId="2" borderId="1" xfId="0" applyFont="1" applyFill="1" applyBorder="1" applyAlignment="1"/>
    <xf numFmtId="0" fontId="15" fillId="0" borderId="0" xfId="0" applyFont="1" applyAlignment="1"/>
    <xf numFmtId="0" fontId="16" fillId="0" borderId="0" xfId="0" applyFont="1" applyAlignment="1"/>
    <xf numFmtId="0" fontId="10" fillId="2" borderId="1" xfId="0" applyFont="1" applyFill="1" applyBorder="1" applyAlignment="1">
      <alignment vertical="top"/>
    </xf>
    <xf numFmtId="4" fontId="10" fillId="2" borderId="1" xfId="0" applyNumberFormat="1" applyFont="1" applyFill="1" applyBorder="1" applyAlignment="1">
      <alignment horizontal="right" vertical="top" wrapText="1"/>
    </xf>
    <xf numFmtId="4" fontId="10" fillId="2" borderId="1" xfId="0" applyNumberFormat="1" applyFont="1" applyFill="1" applyBorder="1" applyAlignment="1">
      <alignment vertical="top"/>
    </xf>
    <xf numFmtId="4" fontId="10" fillId="2" borderId="1" xfId="0" applyNumberFormat="1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/>
    <xf numFmtId="3" fontId="3" fillId="2" borderId="1" xfId="0" applyNumberFormat="1" applyFont="1" applyFill="1" applyBorder="1" applyAlignment="1">
      <alignment horizontal="center" wrapText="1"/>
    </xf>
    <xf numFmtId="0" fontId="3" fillId="0" borderId="1" xfId="2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left"/>
    </xf>
  </cellXfs>
  <cellStyles count="8">
    <cellStyle name="Comma" xfId="6" builtinId="3"/>
    <cellStyle name="Comma 2" xfId="7" xr:uid="{68AF3142-48B6-46A0-9B66-4AC016C8CCBB}"/>
    <cellStyle name="Normaallaad 2" xfId="5" xr:uid="{625F7053-1720-45B8-BC60-DA405838C2BD}"/>
    <cellStyle name="Normal" xfId="0" builtinId="0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EQ128"/>
  <sheetViews>
    <sheetView tabSelected="1" topLeftCell="A97" zoomScale="90" zoomScaleNormal="90" workbookViewId="0">
      <selection activeCell="I12" sqref="I12"/>
    </sheetView>
  </sheetViews>
  <sheetFormatPr defaultRowHeight="15" x14ac:dyDescent="0.25"/>
  <cols>
    <col min="1" max="1" width="7.42578125" style="38" customWidth="1"/>
    <col min="2" max="2" width="55.7109375" style="38" customWidth="1"/>
    <col min="3" max="7" width="22" style="40" customWidth="1"/>
    <col min="8" max="8" width="19.7109375" style="27" customWidth="1"/>
    <col min="9" max="9" width="17.28515625" style="27" customWidth="1"/>
    <col min="10" max="10" width="44.28515625" style="33" customWidth="1"/>
    <col min="11" max="11" width="13.42578125" style="24" bestFit="1" customWidth="1"/>
    <col min="12" max="12" width="13.42578125" style="24" customWidth="1"/>
    <col min="13" max="13" width="13" style="24" customWidth="1"/>
    <col min="14" max="14" width="13.5703125" style="24" customWidth="1"/>
    <col min="15" max="15" width="13.7109375" style="24" customWidth="1"/>
  </cols>
  <sheetData>
    <row r="1" spans="1:15" ht="18.75" x14ac:dyDescent="0.3">
      <c r="A1" s="85" t="s">
        <v>80</v>
      </c>
      <c r="B1" s="86"/>
      <c r="C1" s="39"/>
      <c r="G1" s="41"/>
      <c r="J1" s="37"/>
    </row>
    <row r="2" spans="1:15" ht="15.75" x14ac:dyDescent="0.25">
      <c r="A2" s="38" t="s">
        <v>0</v>
      </c>
      <c r="C2" s="39"/>
      <c r="G2" s="41"/>
    </row>
    <row r="3" spans="1:15" ht="31.5" x14ac:dyDescent="0.25">
      <c r="A3" s="92"/>
      <c r="B3" s="92"/>
      <c r="C3" s="93" t="s">
        <v>1</v>
      </c>
      <c r="D3" s="93" t="s">
        <v>2</v>
      </c>
      <c r="E3" s="93" t="s">
        <v>79</v>
      </c>
      <c r="F3" s="93" t="s">
        <v>3</v>
      </c>
      <c r="G3" s="93" t="s">
        <v>4</v>
      </c>
      <c r="J3" s="48"/>
      <c r="K3" s="49"/>
      <c r="L3" s="49"/>
      <c r="M3" s="49"/>
      <c r="N3" s="49"/>
      <c r="O3" s="49"/>
    </row>
    <row r="4" spans="1:15" ht="15.75" x14ac:dyDescent="0.25">
      <c r="A4" s="94" t="s">
        <v>89</v>
      </c>
      <c r="B4" s="95"/>
      <c r="C4" s="3"/>
      <c r="D4" s="3"/>
      <c r="E4" s="26"/>
      <c r="F4" s="26"/>
      <c r="G4" s="2"/>
      <c r="J4" s="50"/>
      <c r="K4" s="51"/>
      <c r="L4" s="51"/>
      <c r="M4" s="51"/>
      <c r="N4" s="51"/>
      <c r="O4" s="51"/>
    </row>
    <row r="5" spans="1:15" ht="15.75" x14ac:dyDescent="0.25">
      <c r="A5" s="78" t="s">
        <v>12</v>
      </c>
      <c r="B5" s="78"/>
      <c r="C5" s="68">
        <f t="shared" ref="C5:E5" si="0">SUM(C6:C11)</f>
        <v>186387218</v>
      </c>
      <c r="D5" s="68">
        <f t="shared" si="0"/>
        <v>186387218</v>
      </c>
      <c r="E5" s="68">
        <f t="shared" si="0"/>
        <v>155512541.26999998</v>
      </c>
      <c r="F5" s="68">
        <f>SUM(F6:F11)</f>
        <v>160561848.22</v>
      </c>
      <c r="G5" s="68">
        <f>SUM(G6:G11)</f>
        <v>-30874676.730000008</v>
      </c>
      <c r="J5" s="52"/>
      <c r="K5" s="53"/>
      <c r="L5" s="53"/>
      <c r="M5" s="53"/>
      <c r="N5" s="53"/>
      <c r="O5" s="53"/>
    </row>
    <row r="6" spans="1:15" s="35" customFormat="1" ht="15.75" x14ac:dyDescent="0.25">
      <c r="A6" s="43"/>
      <c r="B6" s="43" t="s">
        <v>7</v>
      </c>
      <c r="C6" s="32">
        <v>360000</v>
      </c>
      <c r="D6" s="32">
        <f>C6</f>
        <v>360000</v>
      </c>
      <c r="E6" s="32">
        <v>336439.51</v>
      </c>
      <c r="F6" s="3">
        <v>393604.23</v>
      </c>
      <c r="G6" s="3">
        <f>E6-D6</f>
        <v>-23560.489999999991</v>
      </c>
      <c r="H6" s="34"/>
      <c r="I6" s="34"/>
      <c r="J6" s="54"/>
      <c r="K6" s="51"/>
      <c r="L6" s="51"/>
      <c r="M6" s="51"/>
      <c r="N6" s="51"/>
      <c r="O6" s="51"/>
    </row>
    <row r="7" spans="1:15" s="35" customFormat="1" ht="15.75" x14ac:dyDescent="0.25">
      <c r="A7" s="43"/>
      <c r="B7" s="43" t="s">
        <v>8</v>
      </c>
      <c r="C7" s="32">
        <v>6062868</v>
      </c>
      <c r="D7" s="32">
        <f t="shared" ref="D7:D11" si="1">C7</f>
        <v>6062868</v>
      </c>
      <c r="E7" s="32">
        <f>8561004.88-336439.51-1034.11</f>
        <v>8223531.2600000007</v>
      </c>
      <c r="F7" s="3">
        <f>6515171.84-3882.28+222821.44</f>
        <v>6734111</v>
      </c>
      <c r="G7" s="3">
        <f t="shared" ref="G7:G11" si="2">E7-D7</f>
        <v>2160663.2600000007</v>
      </c>
      <c r="H7" s="34"/>
      <c r="I7" s="34"/>
      <c r="J7" s="54"/>
      <c r="K7" s="51"/>
      <c r="L7" s="51"/>
      <c r="M7" s="51"/>
      <c r="N7" s="51"/>
      <c r="O7" s="51"/>
    </row>
    <row r="8" spans="1:15" s="35" customFormat="1" ht="15.75" x14ac:dyDescent="0.25">
      <c r="A8" s="43"/>
      <c r="B8" s="43" t="s">
        <v>6</v>
      </c>
      <c r="C8" s="32">
        <v>179396350</v>
      </c>
      <c r="D8" s="32">
        <f t="shared" si="1"/>
        <v>179396350</v>
      </c>
      <c r="E8" s="32">
        <f>190044286.53-42633377.25-720858.43-532639.81</f>
        <v>146157411.03999999</v>
      </c>
      <c r="F8" s="3">
        <f>153555647.67-458759.98-439855.35</f>
        <v>152657032.34</v>
      </c>
      <c r="G8" s="3">
        <f t="shared" si="2"/>
        <v>-33238938.960000008</v>
      </c>
      <c r="H8" s="34"/>
      <c r="I8" s="34"/>
      <c r="J8" s="54"/>
      <c r="K8" s="51"/>
      <c r="L8" s="51"/>
      <c r="M8" s="51"/>
      <c r="N8" s="51"/>
      <c r="O8" s="51"/>
    </row>
    <row r="9" spans="1:15" s="35" customFormat="1" ht="15.75" x14ac:dyDescent="0.25">
      <c r="A9" s="43"/>
      <c r="B9" s="43" t="s">
        <v>87</v>
      </c>
      <c r="C9" s="32">
        <v>0</v>
      </c>
      <c r="D9" s="32">
        <f t="shared" si="1"/>
        <v>0</v>
      </c>
      <c r="E9" s="32">
        <v>0</v>
      </c>
      <c r="F9" s="3">
        <v>20756.86</v>
      </c>
      <c r="G9" s="3">
        <f t="shared" si="2"/>
        <v>0</v>
      </c>
      <c r="H9" s="34"/>
      <c r="I9" s="34"/>
      <c r="J9" s="54"/>
      <c r="K9" s="51"/>
      <c r="L9" s="51"/>
      <c r="M9" s="51"/>
      <c r="N9" s="51"/>
      <c r="O9" s="51"/>
    </row>
    <row r="10" spans="1:15" s="35" customFormat="1" ht="15.75" x14ac:dyDescent="0.25">
      <c r="A10" s="43"/>
      <c r="B10" s="43" t="s">
        <v>9</v>
      </c>
      <c r="C10" s="32">
        <v>70000</v>
      </c>
      <c r="D10" s="32">
        <f t="shared" si="1"/>
        <v>70000</v>
      </c>
      <c r="E10" s="32">
        <v>38986.04</v>
      </c>
      <c r="F10" s="3">
        <v>58761.2</v>
      </c>
      <c r="G10" s="3">
        <f t="shared" si="2"/>
        <v>-31013.96</v>
      </c>
      <c r="H10" s="34"/>
      <c r="I10" s="34"/>
      <c r="J10" s="54"/>
      <c r="K10" s="51"/>
      <c r="L10" s="51"/>
      <c r="M10" s="51"/>
      <c r="N10" s="51"/>
      <c r="O10" s="51"/>
    </row>
    <row r="11" spans="1:15" s="35" customFormat="1" ht="15.75" x14ac:dyDescent="0.25">
      <c r="A11" s="43"/>
      <c r="B11" s="43" t="s">
        <v>73</v>
      </c>
      <c r="C11" s="32">
        <v>498000</v>
      </c>
      <c r="D11" s="32">
        <f t="shared" si="1"/>
        <v>498000</v>
      </c>
      <c r="E11" s="32">
        <f>756038.37+135.05</f>
        <v>756173.42</v>
      </c>
      <c r="F11" s="3">
        <f>7794.53+689788.06</f>
        <v>697582.59000000008</v>
      </c>
      <c r="G11" s="3">
        <f t="shared" si="2"/>
        <v>258173.42000000004</v>
      </c>
      <c r="H11" s="34"/>
      <c r="I11" s="34"/>
      <c r="J11" s="54"/>
      <c r="K11" s="51"/>
      <c r="L11" s="51"/>
      <c r="M11" s="51"/>
      <c r="N11" s="51"/>
      <c r="O11" s="51"/>
    </row>
    <row r="12" spans="1:15" ht="15.75" x14ac:dyDescent="0.25">
      <c r="A12" s="69" t="s">
        <v>13</v>
      </c>
      <c r="B12" s="69"/>
      <c r="C12" s="68">
        <f>C14+C68+C108+C129</f>
        <v>-6723443806</v>
      </c>
      <c r="D12" s="68">
        <v>-7010913116</v>
      </c>
      <c r="E12" s="68">
        <f t="shared" ref="E12:G12" si="3">E14+E68+E108+E129</f>
        <v>-6851698071.5299997</v>
      </c>
      <c r="F12" s="68">
        <f t="shared" si="3"/>
        <v>-6372250607.039999</v>
      </c>
      <c r="G12" s="68">
        <f t="shared" si="3"/>
        <v>159215046.13000003</v>
      </c>
      <c r="J12" s="50"/>
      <c r="K12" s="53"/>
      <c r="L12" s="53"/>
      <c r="M12" s="53"/>
      <c r="N12" s="53"/>
      <c r="O12" s="53"/>
    </row>
    <row r="13" spans="1:15" ht="15.75" x14ac:dyDescent="0.25">
      <c r="A13" s="43"/>
      <c r="B13" s="44" t="s">
        <v>10</v>
      </c>
      <c r="C13" s="32">
        <v>-360080229</v>
      </c>
      <c r="D13" s="32">
        <v>-499564188.96999997</v>
      </c>
      <c r="E13" s="32">
        <v>-410190958.46000004</v>
      </c>
      <c r="F13" s="3">
        <v>-574370695.17999995</v>
      </c>
      <c r="G13" s="3">
        <v>89373230.50999999</v>
      </c>
      <c r="J13" s="55"/>
      <c r="K13" s="51"/>
      <c r="L13" s="51"/>
      <c r="M13" s="51"/>
      <c r="N13" s="51"/>
      <c r="O13" s="51"/>
    </row>
    <row r="14" spans="1:15" ht="15.75" x14ac:dyDescent="0.25">
      <c r="A14" s="78" t="s">
        <v>24</v>
      </c>
      <c r="B14" s="79"/>
      <c r="C14" s="68">
        <f>C16+C26+C34+C46+C52</f>
        <v>-4566156814</v>
      </c>
      <c r="D14" s="68">
        <f>D16+D26+D34+D46+D52+1</f>
        <v>-4770321188.7799997</v>
      </c>
      <c r="E14" s="68">
        <f t="shared" ref="E14:G14" si="4">E16+E26+E34+E46+E52</f>
        <v>-4629468615</v>
      </c>
      <c r="F14" s="68">
        <f t="shared" si="4"/>
        <v>-4240433708.0299997</v>
      </c>
      <c r="G14" s="68">
        <f t="shared" si="4"/>
        <v>140852574.78</v>
      </c>
      <c r="J14" s="52"/>
      <c r="K14" s="53"/>
      <c r="L14" s="53"/>
      <c r="M14" s="53"/>
      <c r="N14" s="53"/>
      <c r="O14" s="53"/>
    </row>
    <row r="15" spans="1:15" ht="15.75" x14ac:dyDescent="0.25">
      <c r="A15" s="42"/>
      <c r="B15" s="44" t="s">
        <v>10</v>
      </c>
      <c r="C15" s="32">
        <f>C17+C27+C35+C47+C53</f>
        <v>-95293858</v>
      </c>
      <c r="D15" s="32">
        <f t="shared" ref="D15:G15" si="5">D17+D27+D35+D47+D53</f>
        <v>-165475269.03999999</v>
      </c>
      <c r="E15" s="32">
        <f t="shared" si="5"/>
        <v>-138708314.50999999</v>
      </c>
      <c r="F15" s="3">
        <f t="shared" si="5"/>
        <v>-226257492.07999998</v>
      </c>
      <c r="G15" s="3">
        <f t="shared" si="5"/>
        <v>26766954.529999997</v>
      </c>
      <c r="J15" s="55"/>
      <c r="K15" s="51"/>
      <c r="L15" s="51"/>
      <c r="M15" s="51"/>
      <c r="N15" s="51"/>
      <c r="O15" s="51"/>
    </row>
    <row r="16" spans="1:15" s="23" customFormat="1" ht="15.75" x14ac:dyDescent="0.25">
      <c r="A16" s="84" t="s">
        <v>25</v>
      </c>
      <c r="B16" s="80"/>
      <c r="C16" s="68">
        <f>C18+C20+C22+C24</f>
        <v>-803534667</v>
      </c>
      <c r="D16" s="68">
        <f t="shared" ref="D16:E16" si="6">D18+D20+D22+D24</f>
        <v>-818537830</v>
      </c>
      <c r="E16" s="68">
        <f t="shared" si="6"/>
        <v>-812788140</v>
      </c>
      <c r="F16" s="68">
        <f>-823567059.04-73692.97</f>
        <v>-823640752.00999999</v>
      </c>
      <c r="G16" s="68">
        <f t="shared" ref="G16" si="7">G18+G20+G22+G24</f>
        <v>5749690</v>
      </c>
      <c r="H16" s="36"/>
      <c r="I16" s="36"/>
      <c r="J16" s="56"/>
      <c r="K16" s="53"/>
      <c r="L16" s="53"/>
      <c r="M16" s="53"/>
      <c r="N16" s="53"/>
      <c r="O16" s="53"/>
    </row>
    <row r="17" spans="1:15" ht="15.75" x14ac:dyDescent="0.25">
      <c r="A17" s="43"/>
      <c r="B17" s="44" t="s">
        <v>10</v>
      </c>
      <c r="C17" s="32">
        <f>C19+C21+C23+C25</f>
        <v>-9202942</v>
      </c>
      <c r="D17" s="32">
        <f t="shared" ref="D17:E17" si="8">D19+D21+D23+D25</f>
        <v>-13787467</v>
      </c>
      <c r="E17" s="32">
        <f t="shared" si="8"/>
        <v>-11864380.67</v>
      </c>
      <c r="F17" s="3">
        <f>-64904252-11-9711.75</f>
        <v>-64913974.75</v>
      </c>
      <c r="G17" s="3">
        <f t="shared" ref="G17" si="9">G19+G21+G23+G25</f>
        <v>1923086.3299999998</v>
      </c>
      <c r="J17" s="55"/>
      <c r="K17" s="51"/>
      <c r="L17" s="51"/>
      <c r="M17" s="51"/>
      <c r="N17" s="51"/>
      <c r="O17" s="51"/>
    </row>
    <row r="18" spans="1:15" ht="15.75" x14ac:dyDescent="0.25">
      <c r="A18" s="43" t="s">
        <v>91</v>
      </c>
      <c r="B18" s="44"/>
      <c r="C18" s="32">
        <v>-2389620</v>
      </c>
      <c r="D18" s="32">
        <f>C18-185708-918845+29909</f>
        <v>-3464264</v>
      </c>
      <c r="E18" s="32">
        <v>-2441074</v>
      </c>
      <c r="F18" s="3"/>
      <c r="G18" s="3">
        <f t="shared" ref="G18:G25" si="10">E18-D18</f>
        <v>1023190</v>
      </c>
      <c r="J18" s="54"/>
      <c r="K18" s="51"/>
      <c r="L18" s="51"/>
      <c r="M18" s="51"/>
      <c r="N18" s="51"/>
      <c r="O18" s="51"/>
    </row>
    <row r="19" spans="1:15" ht="15.75" x14ac:dyDescent="0.25">
      <c r="A19" s="43"/>
      <c r="B19" s="44" t="s">
        <v>10</v>
      </c>
      <c r="C19" s="32">
        <v>-2172004</v>
      </c>
      <c r="D19" s="32">
        <f>C19-185708-743433</f>
        <v>-3101145</v>
      </c>
      <c r="E19" s="32">
        <v>-2285939.27</v>
      </c>
      <c r="F19" s="3"/>
      <c r="G19" s="3">
        <f t="shared" si="10"/>
        <v>815205.73</v>
      </c>
      <c r="J19" s="55"/>
      <c r="K19" s="51"/>
      <c r="L19" s="51"/>
      <c r="M19" s="51"/>
      <c r="N19" s="51"/>
      <c r="O19" s="51"/>
    </row>
    <row r="20" spans="1:15" ht="15.75" x14ac:dyDescent="0.25">
      <c r="A20" s="43" t="s">
        <v>92</v>
      </c>
      <c r="B20" s="44"/>
      <c r="C20" s="32">
        <v>-785881369</v>
      </c>
      <c r="D20" s="32">
        <f>C20-21031373+9342476</f>
        <v>-797570266</v>
      </c>
      <c r="E20" s="32">
        <v>-795360826</v>
      </c>
      <c r="F20" s="3"/>
      <c r="G20" s="3">
        <f t="shared" si="10"/>
        <v>2209440</v>
      </c>
      <c r="J20" s="54"/>
      <c r="K20" s="51"/>
      <c r="L20" s="51"/>
      <c r="M20" s="51"/>
      <c r="N20" s="51"/>
      <c r="O20" s="51"/>
    </row>
    <row r="21" spans="1:15" ht="15.75" x14ac:dyDescent="0.25">
      <c r="A21" s="43"/>
      <c r="B21" s="44" t="s">
        <v>10</v>
      </c>
      <c r="C21" s="32">
        <v>-222662</v>
      </c>
      <c r="D21" s="32">
        <f>C21+27646-1930687-1</f>
        <v>-2125704</v>
      </c>
      <c r="E21" s="32">
        <v>-2076037.91</v>
      </c>
      <c r="F21" s="3"/>
      <c r="G21" s="3">
        <f t="shared" si="10"/>
        <v>49666.090000000084</v>
      </c>
      <c r="J21" s="55"/>
      <c r="K21" s="51"/>
      <c r="L21" s="51"/>
      <c r="M21" s="51"/>
      <c r="N21" s="51"/>
      <c r="O21" s="51"/>
    </row>
    <row r="22" spans="1:15" ht="15.75" x14ac:dyDescent="0.25">
      <c r="A22" s="43" t="s">
        <v>93</v>
      </c>
      <c r="B22" s="44"/>
      <c r="C22" s="32">
        <v>-11579404</v>
      </c>
      <c r="D22" s="32">
        <f>C22-873136-623701</f>
        <v>-13076241</v>
      </c>
      <c r="E22" s="32">
        <v>-11006500</v>
      </c>
      <c r="F22" s="3"/>
      <c r="G22" s="3">
        <f t="shared" si="10"/>
        <v>2069741</v>
      </c>
      <c r="J22" s="54"/>
      <c r="K22" s="51"/>
      <c r="L22" s="51"/>
      <c r="M22" s="51"/>
      <c r="N22" s="51"/>
      <c r="O22" s="51"/>
    </row>
    <row r="23" spans="1:15" ht="15.75" x14ac:dyDescent="0.25">
      <c r="A23" s="43"/>
      <c r="B23" s="44" t="s">
        <v>10</v>
      </c>
      <c r="C23" s="32">
        <v>-3828062</v>
      </c>
      <c r="D23" s="32">
        <f>C23-873136-509069</f>
        <v>-5210267</v>
      </c>
      <c r="E23" s="32">
        <v>-4279219.9800000004</v>
      </c>
      <c r="F23" s="3"/>
      <c r="G23" s="3">
        <f t="shared" si="10"/>
        <v>931047.01999999955</v>
      </c>
      <c r="J23" s="55"/>
      <c r="K23" s="51"/>
      <c r="L23" s="51"/>
      <c r="M23" s="51"/>
      <c r="N23" s="51"/>
      <c r="O23" s="51"/>
    </row>
    <row r="24" spans="1:15" ht="15.75" x14ac:dyDescent="0.25">
      <c r="A24" s="43" t="s">
        <v>94</v>
      </c>
      <c r="B24" s="44"/>
      <c r="C24" s="32">
        <v>-3684274</v>
      </c>
      <c r="D24" s="32">
        <f>C24-127803-614982</f>
        <v>-4427059</v>
      </c>
      <c r="E24" s="32">
        <v>-3979740</v>
      </c>
      <c r="F24" s="3"/>
      <c r="G24" s="3">
        <f t="shared" si="10"/>
        <v>447319</v>
      </c>
      <c r="J24" s="54"/>
      <c r="K24" s="51"/>
      <c r="L24" s="51"/>
      <c r="M24" s="51"/>
      <c r="N24" s="51"/>
      <c r="O24" s="51"/>
    </row>
    <row r="25" spans="1:15" ht="15.75" x14ac:dyDescent="0.25">
      <c r="A25" s="43"/>
      <c r="B25" s="44" t="s">
        <v>10</v>
      </c>
      <c r="C25" s="32">
        <v>-2980214</v>
      </c>
      <c r="D25" s="32">
        <f>C25-127803-242334</f>
        <v>-3350351</v>
      </c>
      <c r="E25" s="32">
        <v>-3223183.51</v>
      </c>
      <c r="F25" s="3"/>
      <c r="G25" s="3">
        <f t="shared" si="10"/>
        <v>127167.49000000022</v>
      </c>
      <c r="J25" s="55"/>
      <c r="K25" s="51"/>
      <c r="L25" s="51"/>
      <c r="M25" s="51"/>
      <c r="N25" s="51"/>
      <c r="O25" s="51"/>
    </row>
    <row r="26" spans="1:15" ht="15.75" x14ac:dyDescent="0.25">
      <c r="A26" s="76" t="s">
        <v>26</v>
      </c>
      <c r="B26" s="78"/>
      <c r="C26" s="68">
        <f>C28+C30+C32</f>
        <v>-2848354842</v>
      </c>
      <c r="D26" s="68">
        <f t="shared" ref="D26" si="11">D28+D30+D32</f>
        <v>-2898886400</v>
      </c>
      <c r="E26" s="68">
        <f>E28+E30+E32</f>
        <v>-2846123755</v>
      </c>
      <c r="F26" s="68">
        <f>-2554101470.55+15252.03</f>
        <v>-2554086218.52</v>
      </c>
      <c r="G26" s="68">
        <f t="shared" ref="G26" si="12">G28+G30+G32</f>
        <v>52762645</v>
      </c>
      <c r="J26" s="53"/>
      <c r="K26" s="53"/>
      <c r="L26" s="53"/>
      <c r="M26" s="53"/>
      <c r="N26" s="53"/>
      <c r="O26" s="53"/>
    </row>
    <row r="27" spans="1:15" s="35" customFormat="1" ht="15.75" x14ac:dyDescent="0.25">
      <c r="A27" s="43"/>
      <c r="B27" s="44" t="s">
        <v>10</v>
      </c>
      <c r="C27" s="32">
        <f>C29+C31+C33</f>
        <v>-5883373</v>
      </c>
      <c r="D27" s="32">
        <f t="shared" ref="D27" si="13">D29+D31+D33</f>
        <v>-25773114</v>
      </c>
      <c r="E27" s="32">
        <f>E29+E31+E33</f>
        <v>-24547304.719999999</v>
      </c>
      <c r="F27" s="3">
        <f>2-85104266.31+326.87</f>
        <v>-85103937.439999998</v>
      </c>
      <c r="G27" s="3">
        <f t="shared" ref="G27" si="14">G29+G31+G33</f>
        <v>1225809.2800000017</v>
      </c>
      <c r="H27" s="34"/>
      <c r="I27" s="34"/>
      <c r="J27" s="55"/>
      <c r="K27" s="51"/>
      <c r="L27" s="51"/>
      <c r="M27" s="51"/>
      <c r="N27" s="51"/>
      <c r="O27" s="51"/>
    </row>
    <row r="28" spans="1:15" s="35" customFormat="1" ht="15.75" x14ac:dyDescent="0.25">
      <c r="A28" s="43" t="s">
        <v>95</v>
      </c>
      <c r="B28" s="44"/>
      <c r="C28" s="32">
        <v>-603298</v>
      </c>
      <c r="D28" s="32">
        <f>C28-15210-200233+7477</f>
        <v>-811264</v>
      </c>
      <c r="E28" s="32">
        <v>-617918</v>
      </c>
      <c r="F28" s="3"/>
      <c r="G28" s="3">
        <f t="shared" ref="G28:G33" si="15">E28-D28</f>
        <v>193346</v>
      </c>
      <c r="H28" s="27"/>
      <c r="I28" s="34"/>
      <c r="J28" s="54"/>
      <c r="K28" s="51"/>
      <c r="L28" s="51"/>
      <c r="M28" s="51"/>
      <c r="N28" s="51"/>
      <c r="O28" s="51"/>
    </row>
    <row r="29" spans="1:15" s="35" customFormat="1" ht="15.75" x14ac:dyDescent="0.25">
      <c r="A29" s="43"/>
      <c r="B29" s="44" t="s">
        <v>10</v>
      </c>
      <c r="C29" s="32">
        <v>-589232</v>
      </c>
      <c r="D29" s="32">
        <f>C29-15210-196521</f>
        <v>-800963</v>
      </c>
      <c r="E29" s="32">
        <v>-584217.81999999995</v>
      </c>
      <c r="F29" s="3"/>
      <c r="G29" s="3">
        <f t="shared" si="15"/>
        <v>216745.18000000005</v>
      </c>
      <c r="H29" s="34"/>
      <c r="I29" s="34"/>
      <c r="J29" s="55"/>
      <c r="K29" s="51"/>
      <c r="L29" s="51"/>
      <c r="M29" s="51"/>
      <c r="N29" s="51"/>
      <c r="O29" s="51"/>
    </row>
    <row r="30" spans="1:15" s="35" customFormat="1" ht="15.75" x14ac:dyDescent="0.25">
      <c r="A30" s="43" t="s">
        <v>96</v>
      </c>
      <c r="B30" s="44"/>
      <c r="C30" s="32">
        <v>-2845805394</v>
      </c>
      <c r="D30" s="32">
        <f>C30-31156049-15310394+1</f>
        <v>-2892271836</v>
      </c>
      <c r="E30" s="32">
        <v>-2841553287</v>
      </c>
      <c r="F30" s="3"/>
      <c r="G30" s="3">
        <f t="shared" si="15"/>
        <v>50718549</v>
      </c>
      <c r="H30" s="27"/>
      <c r="I30" s="34"/>
      <c r="J30" s="54"/>
      <c r="K30" s="51"/>
      <c r="L30" s="51"/>
      <c r="M30" s="51"/>
      <c r="N30" s="51"/>
      <c r="O30" s="51"/>
    </row>
    <row r="31" spans="1:15" s="35" customFormat="1" ht="15.75" x14ac:dyDescent="0.25">
      <c r="A31" s="43"/>
      <c r="B31" s="44" t="s">
        <v>10</v>
      </c>
      <c r="C31" s="32">
        <v>-5294141</v>
      </c>
      <c r="D31" s="32">
        <f>C31-73422-15158242</f>
        <v>-20525805</v>
      </c>
      <c r="E31" s="32">
        <v>-20325524.059999999</v>
      </c>
      <c r="F31" s="3"/>
      <c r="G31" s="3">
        <f>E31-D31</f>
        <v>200280.94000000134</v>
      </c>
      <c r="H31" s="34"/>
      <c r="I31" s="34"/>
      <c r="J31" s="55"/>
      <c r="K31" s="51"/>
      <c r="L31" s="51"/>
      <c r="M31" s="51"/>
      <c r="N31" s="51"/>
      <c r="O31" s="51"/>
    </row>
    <row r="32" spans="1:15" s="35" customFormat="1" ht="15.75" x14ac:dyDescent="0.25">
      <c r="A32" s="43" t="s">
        <v>97</v>
      </c>
      <c r="B32" s="43"/>
      <c r="C32" s="32">
        <v>-1946150</v>
      </c>
      <c r="D32" s="32">
        <f>C32-4446346+589196</f>
        <v>-5803300</v>
      </c>
      <c r="E32" s="32">
        <v>-3952550</v>
      </c>
      <c r="F32" s="3"/>
      <c r="G32" s="3">
        <f>E32-D32</f>
        <v>1850750</v>
      </c>
      <c r="H32" s="27"/>
      <c r="I32" s="34"/>
      <c r="J32" s="54"/>
      <c r="K32" s="51"/>
      <c r="L32" s="51"/>
      <c r="M32" s="51"/>
      <c r="N32" s="51"/>
      <c r="O32" s="51"/>
    </row>
    <row r="33" spans="1:15" s="35" customFormat="1" ht="15.75" x14ac:dyDescent="0.25">
      <c r="A33" s="43"/>
      <c r="B33" s="44" t="s">
        <v>10</v>
      </c>
      <c r="C33" s="32">
        <v>0</v>
      </c>
      <c r="D33" s="32">
        <v>-4446346</v>
      </c>
      <c r="E33" s="32">
        <v>-3637562.84</v>
      </c>
      <c r="F33" s="3"/>
      <c r="G33" s="3">
        <f t="shared" si="15"/>
        <v>808783.16000000015</v>
      </c>
      <c r="H33" s="34"/>
      <c r="I33" s="34"/>
      <c r="J33" s="55"/>
      <c r="K33" s="51"/>
      <c r="L33" s="51"/>
      <c r="M33" s="51"/>
      <c r="N33" s="51"/>
      <c r="O33" s="51"/>
    </row>
    <row r="34" spans="1:15" ht="15.75" x14ac:dyDescent="0.25">
      <c r="A34" s="76" t="s">
        <v>90</v>
      </c>
      <c r="B34" s="76"/>
      <c r="C34" s="68">
        <f>C36+C38+C40+C42+C44</f>
        <v>-97947552</v>
      </c>
      <c r="D34" s="68">
        <f t="shared" ref="D34:E34" si="16">D36+D38+D40+D42+D44</f>
        <v>-194939645.40000001</v>
      </c>
      <c r="E34" s="68">
        <f t="shared" si="16"/>
        <v>-152603259</v>
      </c>
      <c r="F34" s="68">
        <f>-88822647.24+139465.07</f>
        <v>-88683182.170000002</v>
      </c>
      <c r="G34" s="68">
        <f t="shared" ref="G34" si="17">G36+G38+G40+G42+G44</f>
        <v>42336386.399999999</v>
      </c>
      <c r="J34" s="53"/>
      <c r="K34" s="53"/>
      <c r="L34" s="53"/>
      <c r="M34" s="53"/>
      <c r="N34" s="53"/>
      <c r="O34" s="53"/>
    </row>
    <row r="35" spans="1:15" s="35" customFormat="1" ht="15.75" x14ac:dyDescent="0.25">
      <c r="A35" s="46"/>
      <c r="B35" s="44" t="s">
        <v>10</v>
      </c>
      <c r="C35" s="32">
        <f>C37+C39+C41+C43+C45</f>
        <v>-59882555</v>
      </c>
      <c r="D35" s="32">
        <f t="shared" ref="D35:E35" si="18">D37+D39+D41+D43+D45</f>
        <v>-86320451</v>
      </c>
      <c r="E35" s="32">
        <f t="shared" si="18"/>
        <v>-65048940.639999993</v>
      </c>
      <c r="F35" s="3">
        <f>-54468516.19+155654.42</f>
        <v>-54312861.769999996</v>
      </c>
      <c r="G35" s="3">
        <f t="shared" ref="G35" si="19">G37+G39+G41+G43+G45</f>
        <v>21271510.359999999</v>
      </c>
      <c r="H35" s="34"/>
      <c r="I35" s="34"/>
      <c r="J35" s="55"/>
      <c r="K35" s="51"/>
      <c r="L35" s="51"/>
      <c r="M35" s="51"/>
      <c r="N35" s="51"/>
      <c r="O35" s="51"/>
    </row>
    <row r="36" spans="1:15" s="35" customFormat="1" ht="15.75" x14ac:dyDescent="0.25">
      <c r="A36" s="47" t="s">
        <v>98</v>
      </c>
      <c r="B36" s="44"/>
      <c r="C36" s="32">
        <v>-6666404</v>
      </c>
      <c r="D36" s="32">
        <f>C36-384788-4345843+24470</f>
        <v>-11372565</v>
      </c>
      <c r="E36" s="32">
        <v>-6906317</v>
      </c>
      <c r="F36" s="3"/>
      <c r="G36" s="3">
        <f t="shared" ref="G36:G45" si="20">E36-D36</f>
        <v>4466248</v>
      </c>
      <c r="H36" s="27"/>
      <c r="I36" s="34"/>
      <c r="J36" s="57"/>
      <c r="K36" s="51"/>
      <c r="L36" s="51"/>
      <c r="M36" s="51"/>
      <c r="N36" s="51"/>
      <c r="O36" s="51"/>
    </row>
    <row r="37" spans="1:15" s="35" customFormat="1" ht="15.75" x14ac:dyDescent="0.25">
      <c r="A37" s="47"/>
      <c r="B37" s="44" t="s">
        <v>10</v>
      </c>
      <c r="C37" s="32">
        <v>-6620370</v>
      </c>
      <c r="D37" s="32">
        <f>C37-384788-843975</f>
        <v>-7849133</v>
      </c>
      <c r="E37" s="32">
        <v>-3376721.86</v>
      </c>
      <c r="F37" s="3"/>
      <c r="G37" s="3">
        <f t="shared" si="20"/>
        <v>4472411.1400000006</v>
      </c>
      <c r="H37" s="34"/>
      <c r="I37" s="34"/>
      <c r="J37" s="55"/>
      <c r="K37" s="51"/>
      <c r="L37" s="51"/>
      <c r="M37" s="51"/>
      <c r="N37" s="51"/>
      <c r="O37" s="51"/>
    </row>
    <row r="38" spans="1:15" s="35" customFormat="1" ht="15.75" x14ac:dyDescent="0.25">
      <c r="A38" s="47" t="s">
        <v>99</v>
      </c>
      <c r="B38" s="43"/>
      <c r="C38" s="32">
        <v>-84716295</v>
      </c>
      <c r="D38" s="32">
        <f>C38-78879937-11136767</f>
        <v>-174732999</v>
      </c>
      <c r="E38" s="32">
        <v>-138682409</v>
      </c>
      <c r="F38" s="3"/>
      <c r="G38" s="3">
        <f t="shared" si="20"/>
        <v>36050590</v>
      </c>
      <c r="H38" s="27"/>
      <c r="I38" s="34"/>
      <c r="J38" s="57"/>
      <c r="K38" s="51"/>
      <c r="L38" s="51"/>
      <c r="M38" s="51"/>
      <c r="N38" s="51"/>
      <c r="O38" s="51"/>
    </row>
    <row r="39" spans="1:15" s="35" customFormat="1" ht="15.75" x14ac:dyDescent="0.25">
      <c r="A39" s="47"/>
      <c r="B39" s="44" t="s">
        <v>10</v>
      </c>
      <c r="C39" s="32">
        <v>-48767425</v>
      </c>
      <c r="D39" s="32">
        <f>C39-16373200-6900961</f>
        <v>-72041586</v>
      </c>
      <c r="E39" s="32">
        <v>-56468397.460000001</v>
      </c>
      <c r="F39" s="3"/>
      <c r="G39" s="3">
        <f t="shared" si="20"/>
        <v>15573188.539999999</v>
      </c>
      <c r="H39" s="34"/>
      <c r="I39" s="34"/>
      <c r="J39" s="55"/>
      <c r="K39" s="51"/>
      <c r="L39" s="51"/>
      <c r="M39" s="51"/>
      <c r="N39" s="51"/>
      <c r="O39" s="51"/>
    </row>
    <row r="40" spans="1:15" s="35" customFormat="1" ht="15.75" x14ac:dyDescent="0.25">
      <c r="A40" s="47" t="s">
        <v>100</v>
      </c>
      <c r="B40" s="44"/>
      <c r="C40" s="32">
        <v>-430014</v>
      </c>
      <c r="D40" s="32">
        <f>C40+34695-167636-24471.4</f>
        <v>-587426.4</v>
      </c>
      <c r="E40" s="32">
        <v>-491396</v>
      </c>
      <c r="F40" s="3"/>
      <c r="G40" s="3">
        <f t="shared" si="20"/>
        <v>96030.400000000023</v>
      </c>
      <c r="H40" s="27"/>
      <c r="I40" s="34"/>
      <c r="J40" s="57"/>
      <c r="K40" s="51"/>
      <c r="L40" s="51"/>
      <c r="M40" s="51"/>
      <c r="N40" s="51"/>
      <c r="O40" s="51"/>
    </row>
    <row r="41" spans="1:15" s="35" customFormat="1" ht="15.75" x14ac:dyDescent="0.25">
      <c r="A41" s="47"/>
      <c r="B41" s="44" t="s">
        <v>10</v>
      </c>
      <c r="C41" s="32">
        <v>-273437</v>
      </c>
      <c r="D41" s="32">
        <f>C41+34695-89898</f>
        <v>-328640</v>
      </c>
      <c r="E41" s="32">
        <v>-227743.48</v>
      </c>
      <c r="F41" s="3"/>
      <c r="G41" s="3">
        <f t="shared" si="20"/>
        <v>100896.51999999999</v>
      </c>
      <c r="H41" s="34"/>
      <c r="I41" s="34"/>
      <c r="J41" s="55"/>
      <c r="K41" s="51"/>
      <c r="L41" s="51"/>
      <c r="M41" s="51"/>
      <c r="N41" s="51"/>
      <c r="O41" s="51"/>
    </row>
    <row r="42" spans="1:15" s="35" customFormat="1" ht="15.75" x14ac:dyDescent="0.25">
      <c r="A42" s="47" t="s">
        <v>101</v>
      </c>
      <c r="B42" s="44"/>
      <c r="C42" s="32">
        <v>-5741433</v>
      </c>
      <c r="D42" s="32">
        <f>C42-1639277-469622</f>
        <v>-7850332</v>
      </c>
      <c r="E42" s="32">
        <v>-6199636</v>
      </c>
      <c r="F42" s="3"/>
      <c r="G42" s="3">
        <f t="shared" si="20"/>
        <v>1650696</v>
      </c>
      <c r="H42" s="27"/>
      <c r="I42" s="34"/>
      <c r="J42" s="57"/>
      <c r="K42" s="51"/>
      <c r="L42" s="51"/>
      <c r="M42" s="51"/>
      <c r="N42" s="51"/>
      <c r="O42" s="51"/>
    </row>
    <row r="43" spans="1:15" s="35" customFormat="1" ht="15.75" x14ac:dyDescent="0.25">
      <c r="A43" s="47"/>
      <c r="B43" s="44" t="s">
        <v>10</v>
      </c>
      <c r="C43" s="32">
        <v>-3833032</v>
      </c>
      <c r="D43" s="32">
        <f>C43-1639277-239291</f>
        <v>-5711600</v>
      </c>
      <c r="E43" s="32">
        <v>-4665888.37</v>
      </c>
      <c r="F43" s="3"/>
      <c r="G43" s="3">
        <f t="shared" si="20"/>
        <v>1045711.6299999999</v>
      </c>
      <c r="H43" s="34"/>
      <c r="I43" s="34"/>
      <c r="J43" s="55"/>
      <c r="K43" s="51"/>
      <c r="L43" s="51"/>
      <c r="M43" s="51"/>
      <c r="N43" s="51"/>
      <c r="O43" s="51"/>
    </row>
    <row r="44" spans="1:15" s="35" customFormat="1" ht="15.75" x14ac:dyDescent="0.25">
      <c r="A44" s="47" t="s">
        <v>102</v>
      </c>
      <c r="B44" s="44"/>
      <c r="C44" s="32">
        <v>-393406</v>
      </c>
      <c r="D44" s="32">
        <f>C44+88627-94263+2719</f>
        <v>-396323</v>
      </c>
      <c r="E44" s="32">
        <v>-323501</v>
      </c>
      <c r="F44" s="3"/>
      <c r="G44" s="3">
        <f t="shared" si="20"/>
        <v>72822</v>
      </c>
      <c r="H44" s="27"/>
      <c r="I44" s="34"/>
      <c r="J44" s="57"/>
      <c r="K44" s="51"/>
      <c r="L44" s="51"/>
      <c r="M44" s="51"/>
      <c r="N44" s="51"/>
      <c r="O44" s="51"/>
    </row>
    <row r="45" spans="1:15" s="35" customFormat="1" ht="15.75" x14ac:dyDescent="0.25">
      <c r="A45" s="46"/>
      <c r="B45" s="44" t="s">
        <v>10</v>
      </c>
      <c r="C45" s="32">
        <v>-388291</v>
      </c>
      <c r="D45" s="32">
        <v>-389492</v>
      </c>
      <c r="E45" s="32">
        <v>-310189.46999999997</v>
      </c>
      <c r="F45" s="3"/>
      <c r="G45" s="3">
        <f t="shared" si="20"/>
        <v>79302.530000000028</v>
      </c>
      <c r="H45" s="34"/>
      <c r="I45" s="34"/>
      <c r="J45" s="55"/>
      <c r="K45" s="51"/>
      <c r="L45" s="51"/>
      <c r="M45" s="51"/>
      <c r="N45" s="51"/>
      <c r="O45" s="51"/>
    </row>
    <row r="46" spans="1:15" ht="15.75" x14ac:dyDescent="0.25">
      <c r="A46" s="84" t="s">
        <v>27</v>
      </c>
      <c r="B46" s="78"/>
      <c r="C46" s="68">
        <f>C48+C50</f>
        <v>-1395850</v>
      </c>
      <c r="D46" s="68">
        <f t="shared" ref="D46:E46" si="21">D48+D50</f>
        <v>-1707110</v>
      </c>
      <c r="E46" s="68">
        <f t="shared" si="21"/>
        <v>-1344702</v>
      </c>
      <c r="F46" s="68">
        <f>-1616198.09+7410.23</f>
        <v>-1608787.86</v>
      </c>
      <c r="G46" s="68">
        <f t="shared" ref="G46" si="22">G48+G50</f>
        <v>362408</v>
      </c>
      <c r="J46" s="56"/>
      <c r="K46" s="53"/>
      <c r="L46" s="53"/>
      <c r="M46" s="53"/>
      <c r="N46" s="53"/>
      <c r="O46" s="53"/>
    </row>
    <row r="47" spans="1:15" s="35" customFormat="1" ht="15.75" x14ac:dyDescent="0.25">
      <c r="A47" s="43"/>
      <c r="B47" s="44" t="s">
        <v>10</v>
      </c>
      <c r="C47" s="32">
        <f>C49+C51</f>
        <v>-1043050</v>
      </c>
      <c r="D47" s="32">
        <f t="shared" ref="D47:E47" si="23">D49+D51</f>
        <v>-1188135</v>
      </c>
      <c r="E47" s="32">
        <f t="shared" si="23"/>
        <v>-824434.85</v>
      </c>
      <c r="F47" s="3">
        <f>-890512.48+1+118.54</f>
        <v>-890392.94</v>
      </c>
      <c r="G47" s="3">
        <f t="shared" ref="G47" si="24">G49+G51</f>
        <v>363700.15</v>
      </c>
      <c r="H47" s="34"/>
      <c r="I47" s="34"/>
      <c r="J47" s="55"/>
      <c r="K47" s="51"/>
      <c r="L47" s="51"/>
      <c r="M47" s="51"/>
      <c r="N47" s="51"/>
      <c r="O47" s="51"/>
    </row>
    <row r="48" spans="1:15" s="35" customFormat="1" ht="15.75" x14ac:dyDescent="0.25">
      <c r="A48" s="43" t="s">
        <v>103</v>
      </c>
      <c r="B48" s="44"/>
      <c r="C48" s="32">
        <v>-779418</v>
      </c>
      <c r="D48" s="32">
        <f>C48+308673-185887-24471</f>
        <v>-681103</v>
      </c>
      <c r="E48" s="32">
        <v>-587519</v>
      </c>
      <c r="F48" s="3"/>
      <c r="G48" s="3">
        <f t="shared" ref="G48:G51" si="25">E48-D48</f>
        <v>93584</v>
      </c>
      <c r="H48" s="27"/>
      <c r="I48" s="34"/>
      <c r="J48" s="54"/>
      <c r="K48" s="51"/>
      <c r="L48" s="51"/>
      <c r="M48" s="51"/>
      <c r="N48" s="51"/>
      <c r="O48" s="51"/>
    </row>
    <row r="49" spans="1:15" s="35" customFormat="1" ht="15.75" x14ac:dyDescent="0.25">
      <c r="A49" s="43"/>
      <c r="B49" s="44" t="s">
        <v>10</v>
      </c>
      <c r="C49" s="32">
        <v>-442732</v>
      </c>
      <c r="D49" s="32">
        <f>C49+308673-367260</f>
        <v>-501319</v>
      </c>
      <c r="E49" s="32">
        <v>-299337.65000000002</v>
      </c>
      <c r="F49" s="3"/>
      <c r="G49" s="3">
        <f t="shared" si="25"/>
        <v>201981.34999999998</v>
      </c>
      <c r="H49" s="34"/>
      <c r="I49" s="34"/>
      <c r="J49" s="55"/>
      <c r="K49" s="51"/>
      <c r="L49" s="51"/>
      <c r="M49" s="51"/>
      <c r="N49" s="51"/>
      <c r="O49" s="51"/>
    </row>
    <row r="50" spans="1:15" s="35" customFormat="1" ht="15.75" x14ac:dyDescent="0.25">
      <c r="A50" s="43" t="s">
        <v>104</v>
      </c>
      <c r="B50" s="44"/>
      <c r="C50" s="32">
        <v>-616432</v>
      </c>
      <c r="D50" s="32">
        <f>C50-2728-406847</f>
        <v>-1026007</v>
      </c>
      <c r="E50" s="32">
        <v>-757183</v>
      </c>
      <c r="F50" s="3"/>
      <c r="G50" s="3">
        <f t="shared" si="25"/>
        <v>268824</v>
      </c>
      <c r="H50" s="27"/>
      <c r="I50" s="34"/>
      <c r="J50" s="54"/>
      <c r="K50" s="51"/>
      <c r="L50" s="51"/>
      <c r="M50" s="51"/>
      <c r="N50" s="51"/>
      <c r="O50" s="51"/>
    </row>
    <row r="51" spans="1:15" ht="15.75" x14ac:dyDescent="0.25">
      <c r="A51" s="43"/>
      <c r="B51" s="44" t="s">
        <v>10</v>
      </c>
      <c r="C51" s="32">
        <v>-600318</v>
      </c>
      <c r="D51" s="32">
        <f>C51-2728-83770</f>
        <v>-686816</v>
      </c>
      <c r="E51" s="32">
        <v>-525097.19999999995</v>
      </c>
      <c r="F51" s="3"/>
      <c r="G51" s="3">
        <f t="shared" si="25"/>
        <v>161718.80000000005</v>
      </c>
      <c r="J51" s="55"/>
      <c r="K51" s="51"/>
      <c r="L51" s="51"/>
      <c r="M51" s="51"/>
      <c r="N51" s="51"/>
      <c r="O51" s="51"/>
    </row>
    <row r="52" spans="1:15" ht="15.75" x14ac:dyDescent="0.25">
      <c r="A52" s="78" t="s">
        <v>23</v>
      </c>
      <c r="B52" s="79"/>
      <c r="C52" s="68">
        <f>C54+C56+C58+C60+C62+C64+C66</f>
        <v>-814923903</v>
      </c>
      <c r="D52" s="68">
        <f t="shared" ref="D52:E52" si="26">D54+D56+D58+D60+D62+D64+D66</f>
        <v>-856250204.38</v>
      </c>
      <c r="E52" s="68">
        <f t="shared" si="26"/>
        <v>-816608759</v>
      </c>
      <c r="F52" s="68">
        <f>-772398009.03-16758.44</f>
        <v>-772414767.47000003</v>
      </c>
      <c r="G52" s="68">
        <f t="shared" ref="G52" si="27">G54+G56+G58+G60+G62+G64+G66</f>
        <v>39641445.380000003</v>
      </c>
      <c r="J52" s="52"/>
      <c r="K52" s="53"/>
      <c r="L52" s="53"/>
      <c r="M52" s="53"/>
      <c r="N52" s="53"/>
      <c r="O52" s="53"/>
    </row>
    <row r="53" spans="1:15" s="35" customFormat="1" ht="15.75" x14ac:dyDescent="0.25">
      <c r="A53" s="43"/>
      <c r="B53" s="44" t="s">
        <v>10</v>
      </c>
      <c r="C53" s="32">
        <f>C55+C57+C59+C61+C63+C65+C67</f>
        <v>-19281938</v>
      </c>
      <c r="D53" s="32">
        <f t="shared" ref="D53:E53" si="28">D55+D57+D59+D61+D63+D65+D67</f>
        <v>-38406102.039999999</v>
      </c>
      <c r="E53" s="32">
        <f t="shared" si="28"/>
        <v>-36423253.629999995</v>
      </c>
      <c r="F53" s="3">
        <f>-21036851.86-327.27+853.95</f>
        <v>-21036325.18</v>
      </c>
      <c r="G53" s="3">
        <f t="shared" ref="G53" si="29">G55+G57+G59+G61+G63+G65+G67</f>
        <v>1982848.4100000004</v>
      </c>
      <c r="H53" s="34"/>
      <c r="I53" s="34"/>
      <c r="J53" s="55"/>
      <c r="K53" s="51"/>
      <c r="L53" s="51"/>
      <c r="M53" s="51"/>
      <c r="N53" s="51"/>
      <c r="O53" s="51"/>
    </row>
    <row r="54" spans="1:15" s="35" customFormat="1" ht="15.75" x14ac:dyDescent="0.25">
      <c r="A54" s="43" t="s">
        <v>105</v>
      </c>
      <c r="B54" s="44"/>
      <c r="C54" s="32">
        <v>-1229504</v>
      </c>
      <c r="D54" s="32">
        <f>C54+52015-833021+13594.62</f>
        <v>-1996915.38</v>
      </c>
      <c r="E54" s="32">
        <v>-1345115</v>
      </c>
      <c r="F54" s="3"/>
      <c r="G54" s="3">
        <f t="shared" ref="G54:G67" si="30">E54-D54</f>
        <v>651800.37999999989</v>
      </c>
      <c r="H54" s="27"/>
      <c r="I54" s="34"/>
      <c r="J54" s="54"/>
      <c r="K54" s="51"/>
      <c r="L54" s="51"/>
      <c r="M54" s="51"/>
      <c r="N54" s="51"/>
      <c r="O54" s="51"/>
    </row>
    <row r="55" spans="1:15" s="35" customFormat="1" ht="15.75" x14ac:dyDescent="0.25">
      <c r="A55" s="43"/>
      <c r="B55" s="44" t="s">
        <v>10</v>
      </c>
      <c r="C55" s="32">
        <v>-1060701</v>
      </c>
      <c r="D55" s="32">
        <f>C55+52015-481907</f>
        <v>-1490593</v>
      </c>
      <c r="E55" s="32">
        <v>-1134139.6599999999</v>
      </c>
      <c r="F55" s="3"/>
      <c r="G55" s="3">
        <f t="shared" si="30"/>
        <v>356453.34000000008</v>
      </c>
      <c r="H55" s="62"/>
      <c r="I55" s="34"/>
      <c r="J55" s="55"/>
      <c r="K55" s="51"/>
      <c r="L55" s="51"/>
      <c r="M55" s="51"/>
      <c r="N55" s="51"/>
      <c r="O55" s="51"/>
    </row>
    <row r="56" spans="1:15" s="35" customFormat="1" ht="15.75" x14ac:dyDescent="0.25">
      <c r="A56" s="43" t="s">
        <v>106</v>
      </c>
      <c r="B56" s="44"/>
      <c r="C56" s="32">
        <v>-2974488</v>
      </c>
      <c r="D56" s="32">
        <f>C56-15352-565621-2949.05</f>
        <v>-3558410.05</v>
      </c>
      <c r="E56" s="32">
        <v>-2982025</v>
      </c>
      <c r="F56" s="3"/>
      <c r="G56" s="3">
        <f t="shared" si="30"/>
        <v>576385.04999999981</v>
      </c>
      <c r="H56" s="63"/>
      <c r="I56" s="34"/>
      <c r="J56" s="54"/>
      <c r="K56" s="51"/>
      <c r="L56" s="51"/>
      <c r="M56" s="51"/>
      <c r="N56" s="51"/>
      <c r="O56" s="51"/>
    </row>
    <row r="57" spans="1:15" s="35" customFormat="1" ht="15.75" x14ac:dyDescent="0.25">
      <c r="A57" s="43"/>
      <c r="B57" s="44" t="s">
        <v>10</v>
      </c>
      <c r="C57" s="32">
        <v>-2417360</v>
      </c>
      <c r="D57" s="32">
        <f>C57-15352-724587</f>
        <v>-3157299</v>
      </c>
      <c r="E57" s="32">
        <v>-2598758.6</v>
      </c>
      <c r="F57" s="3"/>
      <c r="G57" s="3">
        <f t="shared" si="30"/>
        <v>558540.39999999991</v>
      </c>
      <c r="H57" s="62"/>
      <c r="I57" s="34"/>
      <c r="J57" s="55"/>
      <c r="K57" s="51"/>
      <c r="L57" s="51"/>
      <c r="M57" s="51"/>
      <c r="N57" s="51"/>
      <c r="O57" s="51"/>
    </row>
    <row r="58" spans="1:15" s="35" customFormat="1" ht="15.75" x14ac:dyDescent="0.25">
      <c r="A58" s="43" t="s">
        <v>107</v>
      </c>
      <c r="B58" s="44"/>
      <c r="C58" s="32">
        <v>-1597725</v>
      </c>
      <c r="D58" s="32">
        <f>C58-32224-142403-8860</f>
        <v>-1781212</v>
      </c>
      <c r="E58" s="32">
        <v>-1598532</v>
      </c>
      <c r="F58" s="3"/>
      <c r="G58" s="3">
        <f t="shared" si="30"/>
        <v>182680</v>
      </c>
      <c r="H58" s="63"/>
      <c r="I58" s="34"/>
      <c r="J58" s="54"/>
      <c r="K58" s="51"/>
      <c r="L58" s="51"/>
      <c r="M58" s="51"/>
      <c r="N58" s="51"/>
      <c r="O58" s="51"/>
    </row>
    <row r="59" spans="1:15" s="35" customFormat="1" ht="15.75" x14ac:dyDescent="0.25">
      <c r="A59" s="43"/>
      <c r="B59" s="44" t="s">
        <v>10</v>
      </c>
      <c r="C59" s="32">
        <v>-1417842</v>
      </c>
      <c r="D59" s="32">
        <f>C59-32224-131349</f>
        <v>-1581415</v>
      </c>
      <c r="E59" s="32">
        <v>-1434183.5</v>
      </c>
      <c r="F59" s="3"/>
      <c r="G59" s="3">
        <f t="shared" si="30"/>
        <v>147231.5</v>
      </c>
      <c r="H59" s="62"/>
      <c r="I59" s="34"/>
      <c r="J59" s="55"/>
      <c r="K59" s="51"/>
      <c r="L59" s="51"/>
      <c r="M59" s="51"/>
      <c r="N59" s="51"/>
      <c r="O59" s="51"/>
    </row>
    <row r="60" spans="1:15" s="35" customFormat="1" ht="15.75" x14ac:dyDescent="0.25">
      <c r="A60" s="43" t="s">
        <v>108</v>
      </c>
      <c r="B60" s="44"/>
      <c r="C60" s="32">
        <v>-17155737</v>
      </c>
      <c r="D60" s="32">
        <f>C60-3576603.64-1</f>
        <v>-20732341.640000001</v>
      </c>
      <c r="E60" s="32">
        <v>-18744285</v>
      </c>
      <c r="F60" s="3"/>
      <c r="G60" s="3">
        <f t="shared" si="30"/>
        <v>1988056.6400000006</v>
      </c>
      <c r="H60" s="63"/>
      <c r="I60" s="34"/>
      <c r="J60" s="27"/>
      <c r="K60" s="51"/>
      <c r="L60" s="51"/>
      <c r="M60" s="51"/>
      <c r="N60" s="51"/>
      <c r="O60" s="51"/>
    </row>
    <row r="61" spans="1:15" s="35" customFormat="1" ht="15.75" x14ac:dyDescent="0.25">
      <c r="A61" s="43"/>
      <c r="B61" s="44" t="s">
        <v>10</v>
      </c>
      <c r="C61" s="32">
        <v>-7034969</v>
      </c>
      <c r="D61" s="32">
        <f>C61-2873742</f>
        <v>-9908711</v>
      </c>
      <c r="E61" s="32">
        <v>-9602079.2599999998</v>
      </c>
      <c r="F61" s="3"/>
      <c r="G61" s="3">
        <f t="shared" si="30"/>
        <v>306631.74000000022</v>
      </c>
      <c r="H61" s="62"/>
      <c r="I61" s="34"/>
      <c r="J61" s="55"/>
      <c r="K61" s="51"/>
      <c r="L61" s="51"/>
      <c r="M61" s="51"/>
      <c r="N61" s="51"/>
      <c r="O61" s="51"/>
    </row>
    <row r="62" spans="1:15" s="35" customFormat="1" ht="15.75" x14ac:dyDescent="0.25">
      <c r="A62" s="43" t="s">
        <v>109</v>
      </c>
      <c r="B62" s="44"/>
      <c r="C62" s="32">
        <v>-1722587</v>
      </c>
      <c r="D62" s="32">
        <f>C62-2318706</f>
        <v>-4041293</v>
      </c>
      <c r="E62" s="32">
        <v>-2459455</v>
      </c>
      <c r="F62" s="3"/>
      <c r="G62" s="3">
        <f t="shared" si="30"/>
        <v>1581838</v>
      </c>
      <c r="H62" s="63"/>
      <c r="I62" s="34"/>
      <c r="J62" s="27"/>
      <c r="K62" s="51"/>
      <c r="L62" s="51"/>
      <c r="M62" s="51"/>
      <c r="N62" s="51"/>
      <c r="O62" s="51"/>
    </row>
    <row r="63" spans="1:15" s="35" customFormat="1" ht="15.75" x14ac:dyDescent="0.25">
      <c r="A63" s="43"/>
      <c r="B63" s="44" t="s">
        <v>10</v>
      </c>
      <c r="C63" s="32">
        <v>-533792</v>
      </c>
      <c r="D63" s="32">
        <f>C63-302571</f>
        <v>-836363</v>
      </c>
      <c r="E63" s="32">
        <v>-573830.02</v>
      </c>
      <c r="F63" s="3"/>
      <c r="G63" s="3">
        <f t="shared" si="30"/>
        <v>262532.98</v>
      </c>
      <c r="H63" s="62"/>
      <c r="I63" s="34"/>
      <c r="J63" s="55"/>
      <c r="K63" s="51"/>
      <c r="L63" s="51"/>
      <c r="M63" s="51"/>
      <c r="N63" s="51"/>
      <c r="O63" s="51"/>
    </row>
    <row r="64" spans="1:15" s="35" customFormat="1" ht="15.75" x14ac:dyDescent="0.25">
      <c r="A64" s="43" t="s">
        <v>110</v>
      </c>
      <c r="B64" s="44"/>
      <c r="C64" s="32">
        <v>-3085541</v>
      </c>
      <c r="D64" s="32">
        <f>C64-574921.31</f>
        <v>-3660462.31</v>
      </c>
      <c r="E64" s="32">
        <v>-3478673</v>
      </c>
      <c r="F64" s="3"/>
      <c r="G64" s="3">
        <f t="shared" si="30"/>
        <v>181789.31000000006</v>
      </c>
      <c r="H64" s="63"/>
      <c r="I64" s="34"/>
      <c r="J64" s="27"/>
      <c r="K64" s="51"/>
      <c r="L64" s="51"/>
      <c r="M64" s="51"/>
      <c r="N64" s="51"/>
      <c r="O64" s="51"/>
    </row>
    <row r="65" spans="1:147" s="35" customFormat="1" ht="15.75" x14ac:dyDescent="0.25">
      <c r="A65" s="43"/>
      <c r="B65" s="44" t="s">
        <v>10</v>
      </c>
      <c r="C65" s="32">
        <v>-2565937</v>
      </c>
      <c r="D65" s="32">
        <f>C65-352383.04</f>
        <v>-2918320.04</v>
      </c>
      <c r="E65" s="32">
        <v>-2789445.59</v>
      </c>
      <c r="F65" s="3"/>
      <c r="G65" s="3">
        <f t="shared" si="30"/>
        <v>128874.45000000019</v>
      </c>
      <c r="H65" s="62"/>
      <c r="I65" s="34"/>
      <c r="J65" s="55"/>
      <c r="K65" s="51"/>
      <c r="L65" s="51"/>
      <c r="M65" s="51"/>
      <c r="N65" s="51"/>
      <c r="O65" s="51"/>
    </row>
    <row r="66" spans="1:147" s="35" customFormat="1" ht="15.75" x14ac:dyDescent="0.25">
      <c r="A66" s="43" t="s">
        <v>111</v>
      </c>
      <c r="B66" s="65"/>
      <c r="C66" s="32">
        <v>-787158321</v>
      </c>
      <c r="D66" s="32">
        <f>C66-19245732-14075520+3</f>
        <v>-820479570</v>
      </c>
      <c r="E66" s="32">
        <v>-786000674</v>
      </c>
      <c r="F66" s="3"/>
      <c r="G66" s="3">
        <f t="shared" si="30"/>
        <v>34478896</v>
      </c>
      <c r="H66" s="27"/>
      <c r="I66" s="34"/>
      <c r="J66" s="54"/>
      <c r="K66" s="51"/>
      <c r="L66" s="51"/>
      <c r="M66" s="51"/>
      <c r="N66" s="51"/>
      <c r="O66" s="51"/>
    </row>
    <row r="67" spans="1:147" s="35" customFormat="1" ht="15.75" x14ac:dyDescent="0.25">
      <c r="A67" s="43"/>
      <c r="B67" s="44" t="s">
        <v>10</v>
      </c>
      <c r="C67" s="32">
        <v>-4251337</v>
      </c>
      <c r="D67" s="32">
        <f>C67-214769-14047295</f>
        <v>-18513401</v>
      </c>
      <c r="E67" s="32">
        <v>-18290817</v>
      </c>
      <c r="F67" s="3"/>
      <c r="G67" s="3">
        <f t="shared" si="30"/>
        <v>222584</v>
      </c>
      <c r="H67" s="62"/>
      <c r="I67" s="62"/>
      <c r="J67" s="55"/>
      <c r="K67" s="51"/>
      <c r="L67" s="51"/>
      <c r="M67" s="51"/>
      <c r="N67" s="51"/>
      <c r="O67" s="51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</row>
    <row r="68" spans="1:147" s="81" customFormat="1" ht="15.75" x14ac:dyDescent="0.25">
      <c r="A68" s="78" t="s">
        <v>28</v>
      </c>
      <c r="B68" s="80"/>
      <c r="C68" s="68">
        <f>C70+C80+C92</f>
        <v>-2150601789</v>
      </c>
      <c r="D68" s="68">
        <f>D70+D80+D92+1</f>
        <v>-2222834675.6399999</v>
      </c>
      <c r="E68" s="68">
        <f>E70+E80+E92</f>
        <v>-2209233059</v>
      </c>
      <c r="F68" s="68">
        <f t="shared" ref="F68:G68" si="31">F70+F80+F92</f>
        <v>-2125722259.52</v>
      </c>
      <c r="G68" s="68">
        <f t="shared" si="31"/>
        <v>13601617.640000001</v>
      </c>
      <c r="H68" s="63"/>
      <c r="I68" s="63"/>
      <c r="J68" s="52"/>
      <c r="K68" s="53"/>
      <c r="L68" s="53"/>
      <c r="M68" s="53"/>
      <c r="N68" s="53"/>
      <c r="O68" s="5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</row>
    <row r="69" spans="1:147" ht="15.75" x14ac:dyDescent="0.25">
      <c r="A69" s="42"/>
      <c r="B69" s="44" t="s">
        <v>10</v>
      </c>
      <c r="C69" s="32">
        <f>C71+C81+C93</f>
        <v>-264786371</v>
      </c>
      <c r="D69" s="32">
        <f>D71+D81+D93</f>
        <v>-334088920</v>
      </c>
      <c r="E69" s="32">
        <f t="shared" ref="E69:G69" si="32">E71+E81+E93</f>
        <v>-271482644.09000003</v>
      </c>
      <c r="F69" s="3">
        <f t="shared" si="32"/>
        <v>-348113203.09999996</v>
      </c>
      <c r="G69" s="3">
        <f t="shared" si="32"/>
        <v>62606275.910000004</v>
      </c>
      <c r="J69" s="55"/>
      <c r="K69" s="51"/>
      <c r="L69" s="51"/>
      <c r="M69" s="51"/>
      <c r="N69" s="51"/>
      <c r="O69" s="51"/>
    </row>
    <row r="70" spans="1:147" ht="15.75" x14ac:dyDescent="0.25">
      <c r="A70" s="76" t="s">
        <v>29</v>
      </c>
      <c r="B70" s="78"/>
      <c r="C70" s="68">
        <f>C72+C74+C76+C78</f>
        <v>-7342940</v>
      </c>
      <c r="D70" s="68">
        <f>D72+D74+D76+D78</f>
        <v>-11646528.27</v>
      </c>
      <c r="E70" s="68">
        <f t="shared" ref="E70" si="33">E72+E74+E76+E78</f>
        <v>-8385251</v>
      </c>
      <c r="F70" s="68">
        <f>111276.24-7190643.54</f>
        <v>-7079367.2999999998</v>
      </c>
      <c r="G70" s="68">
        <f t="shared" ref="G70" si="34">G72+G74+G76+G78</f>
        <v>3261277.27</v>
      </c>
      <c r="J70" s="53"/>
      <c r="K70" s="53"/>
      <c r="L70" s="53"/>
      <c r="M70" s="53"/>
      <c r="N70" s="53"/>
      <c r="O70" s="53"/>
    </row>
    <row r="71" spans="1:147" s="35" customFormat="1" ht="15.75" x14ac:dyDescent="0.25">
      <c r="A71" s="43"/>
      <c r="B71" s="44" t="s">
        <v>10</v>
      </c>
      <c r="C71" s="32">
        <f>C73+C75+C77+C79</f>
        <v>-5310418</v>
      </c>
      <c r="D71" s="32">
        <f t="shared" ref="D71:E71" si="35">D73+D75+D77+D79</f>
        <v>-7024043</v>
      </c>
      <c r="E71" s="32">
        <f t="shared" si="35"/>
        <v>-5917406.4199999999</v>
      </c>
      <c r="F71" s="3">
        <f>-4704453.82+4+82117.25</f>
        <v>-4622332.57</v>
      </c>
      <c r="G71" s="3">
        <f t="shared" ref="G71" si="36">G73+G75+G77+G79</f>
        <v>1106636.58</v>
      </c>
      <c r="H71" s="34"/>
      <c r="I71" s="34"/>
      <c r="J71" s="55"/>
      <c r="K71" s="51"/>
      <c r="L71" s="51"/>
      <c r="M71" s="51"/>
      <c r="N71" s="51"/>
      <c r="O71" s="51"/>
    </row>
    <row r="72" spans="1:147" s="35" customFormat="1" ht="15.75" x14ac:dyDescent="0.25">
      <c r="A72" s="43" t="s">
        <v>112</v>
      </c>
      <c r="B72" s="44"/>
      <c r="C72" s="32">
        <v>-749041</v>
      </c>
      <c r="D72" s="32">
        <f>C72+143451-601362+10875.73</f>
        <v>-1196076.27</v>
      </c>
      <c r="E72" s="32">
        <v>-896232</v>
      </c>
      <c r="F72" s="32"/>
      <c r="G72" s="32">
        <f t="shared" ref="G72:G79" si="37">E72-D72</f>
        <v>299844.27</v>
      </c>
      <c r="H72" s="34"/>
      <c r="I72" s="34"/>
      <c r="J72" s="54"/>
      <c r="K72" s="51"/>
      <c r="L72" s="51"/>
      <c r="M72" s="51"/>
      <c r="N72" s="51"/>
      <c r="O72" s="51"/>
    </row>
    <row r="73" spans="1:147" s="35" customFormat="1" ht="15.75" x14ac:dyDescent="0.25">
      <c r="A73" s="43"/>
      <c r="B73" s="44" t="s">
        <v>10</v>
      </c>
      <c r="C73" s="32">
        <v>-727082</v>
      </c>
      <c r="D73" s="32">
        <f>C73+143451-558468</f>
        <v>-1142099</v>
      </c>
      <c r="E73" s="32">
        <v>-846676.03</v>
      </c>
      <c r="F73" s="32"/>
      <c r="G73" s="32">
        <f t="shared" si="37"/>
        <v>295422.96999999997</v>
      </c>
      <c r="H73" s="34"/>
      <c r="I73" s="34"/>
      <c r="J73" s="55"/>
      <c r="K73" s="51"/>
      <c r="L73" s="51"/>
      <c r="M73" s="51"/>
      <c r="N73" s="51"/>
      <c r="O73" s="51"/>
    </row>
    <row r="74" spans="1:147" s="35" customFormat="1" ht="15.75" x14ac:dyDescent="0.25">
      <c r="A74" s="43" t="s">
        <v>113</v>
      </c>
      <c r="B74" s="44"/>
      <c r="C74" s="32">
        <v>-1594751</v>
      </c>
      <c r="D74" s="32">
        <f>C74-257845-462164</f>
        <v>-2314760</v>
      </c>
      <c r="E74" s="32">
        <v>-1931432</v>
      </c>
      <c r="F74" s="32"/>
      <c r="G74" s="32">
        <f t="shared" si="37"/>
        <v>383328</v>
      </c>
      <c r="H74" s="34"/>
      <c r="I74" s="34"/>
      <c r="J74" s="54"/>
      <c r="K74" s="51"/>
      <c r="L74" s="51"/>
      <c r="M74" s="51"/>
      <c r="N74" s="51"/>
      <c r="O74" s="51"/>
    </row>
    <row r="75" spans="1:147" s="35" customFormat="1" ht="15.75" x14ac:dyDescent="0.25">
      <c r="A75" s="43"/>
      <c r="B75" s="44" t="s">
        <v>10</v>
      </c>
      <c r="C75" s="32">
        <v>-1357088</v>
      </c>
      <c r="D75" s="32">
        <f>C75-257845-185940</f>
        <v>-1800873</v>
      </c>
      <c r="E75" s="32">
        <v>-1581148.76</v>
      </c>
      <c r="F75" s="32"/>
      <c r="G75" s="32">
        <f t="shared" si="37"/>
        <v>219724.24</v>
      </c>
      <c r="H75" s="34"/>
      <c r="I75" s="34"/>
      <c r="J75" s="55"/>
      <c r="K75" s="51"/>
      <c r="L75" s="51"/>
      <c r="M75" s="51"/>
      <c r="N75" s="51"/>
      <c r="O75" s="51"/>
    </row>
    <row r="76" spans="1:147" s="35" customFormat="1" ht="15.75" x14ac:dyDescent="0.25">
      <c r="A76" s="43" t="s">
        <v>114</v>
      </c>
      <c r="B76" s="44"/>
      <c r="C76" s="32">
        <v>-1132050</v>
      </c>
      <c r="D76" s="32">
        <f>C76-377204-147674</f>
        <v>-1656928</v>
      </c>
      <c r="E76" s="32">
        <v>-1335019</v>
      </c>
      <c r="F76" s="32"/>
      <c r="G76" s="32">
        <f t="shared" si="37"/>
        <v>321909</v>
      </c>
      <c r="H76" s="34"/>
      <c r="I76" s="34"/>
      <c r="J76" s="54"/>
      <c r="K76" s="51"/>
      <c r="L76" s="51"/>
      <c r="M76" s="51"/>
      <c r="N76" s="51"/>
      <c r="O76" s="51"/>
    </row>
    <row r="77" spans="1:147" s="35" customFormat="1" ht="15.75" x14ac:dyDescent="0.25">
      <c r="A77" s="43"/>
      <c r="B77" s="44" t="s">
        <v>10</v>
      </c>
      <c r="C77" s="32">
        <v>-1104805</v>
      </c>
      <c r="D77" s="32">
        <f>C77-377204-105030</f>
        <v>-1587039</v>
      </c>
      <c r="E77" s="32">
        <v>-1266403.23</v>
      </c>
      <c r="F77" s="32"/>
      <c r="G77" s="32">
        <f t="shared" si="37"/>
        <v>320635.77</v>
      </c>
      <c r="H77" s="34"/>
      <c r="I77" s="34"/>
      <c r="J77" s="55"/>
      <c r="K77" s="51"/>
      <c r="L77" s="51"/>
      <c r="M77" s="51"/>
      <c r="N77" s="51"/>
      <c r="O77" s="51"/>
    </row>
    <row r="78" spans="1:147" s="35" customFormat="1" ht="15.75" x14ac:dyDescent="0.25">
      <c r="A78" s="43" t="s">
        <v>115</v>
      </c>
      <c r="B78" s="43"/>
      <c r="C78" s="32">
        <v>-3867098</v>
      </c>
      <c r="D78" s="32">
        <f>C78-97620-2514046</f>
        <v>-6478764</v>
      </c>
      <c r="E78" s="32">
        <v>-4222568</v>
      </c>
      <c r="F78" s="32"/>
      <c r="G78" s="32">
        <f t="shared" si="37"/>
        <v>2256196</v>
      </c>
      <c r="H78" s="34"/>
      <c r="I78" s="34"/>
      <c r="J78" s="54"/>
      <c r="K78" s="51"/>
      <c r="L78" s="51"/>
      <c r="M78" s="51"/>
      <c r="N78" s="51"/>
      <c r="O78" s="51"/>
    </row>
    <row r="79" spans="1:147" s="35" customFormat="1" ht="15.75" x14ac:dyDescent="0.25">
      <c r="A79" s="43"/>
      <c r="B79" s="44" t="s">
        <v>10</v>
      </c>
      <c r="C79" s="32">
        <v>-2121443</v>
      </c>
      <c r="D79" s="32">
        <f>C79-97620-274969</f>
        <v>-2494032</v>
      </c>
      <c r="E79" s="32">
        <v>-2223178.4</v>
      </c>
      <c r="F79" s="32"/>
      <c r="G79" s="32">
        <f t="shared" si="37"/>
        <v>270853.60000000009</v>
      </c>
      <c r="H79" s="34"/>
      <c r="I79" s="34"/>
      <c r="J79" s="55"/>
      <c r="K79" s="51"/>
      <c r="L79" s="51"/>
      <c r="M79" s="51"/>
      <c r="N79" s="51"/>
      <c r="O79" s="51"/>
    </row>
    <row r="80" spans="1:147" ht="15.75" x14ac:dyDescent="0.25">
      <c r="A80" s="76" t="s">
        <v>30</v>
      </c>
      <c r="B80" s="76"/>
      <c r="C80" s="68">
        <f>C82+C84+C86+C88+C90</f>
        <v>-23031533</v>
      </c>
      <c r="D80" s="68">
        <f>D82+D84+D86+D88+D90+1</f>
        <v>-29545909.020000003</v>
      </c>
      <c r="E80" s="68">
        <f t="shared" ref="E80" si="38">E82+E84+E86+E88+E90</f>
        <v>-25501058</v>
      </c>
      <c r="F80" s="68">
        <f>-21180286.77+118794.07</f>
        <v>-21061492.699999999</v>
      </c>
      <c r="G80" s="68">
        <f t="shared" ref="G80" si="39">G82+G84+G86+G88+G90</f>
        <v>4044852.0200000009</v>
      </c>
      <c r="J80" s="53"/>
      <c r="K80" s="53"/>
      <c r="L80" s="53"/>
      <c r="M80" s="53"/>
      <c r="N80" s="53"/>
      <c r="O80" s="53"/>
    </row>
    <row r="81" spans="1:15" ht="15.75" x14ac:dyDescent="0.25">
      <c r="A81" s="46"/>
      <c r="B81" s="44" t="s">
        <v>10</v>
      </c>
      <c r="C81" s="32">
        <f>C83+C85+C87+C89+C91</f>
        <v>-19996792</v>
      </c>
      <c r="D81" s="32">
        <f t="shared" ref="D81:E81" si="40">D83+D85+D87+D89+D91</f>
        <v>-22437302</v>
      </c>
      <c r="E81" s="32">
        <f t="shared" si="40"/>
        <v>-20625916.509999998</v>
      </c>
      <c r="F81" s="32">
        <f>-15688808.68+4+87778.01</f>
        <v>-15601026.67</v>
      </c>
      <c r="G81" s="32">
        <f t="shared" ref="G81" si="41">G83+G85+G87+G89+G91</f>
        <v>1811385.4900000002</v>
      </c>
      <c r="J81" s="55"/>
      <c r="K81" s="51"/>
      <c r="L81" s="51"/>
      <c r="M81" s="51"/>
      <c r="N81" s="51"/>
      <c r="O81" s="51"/>
    </row>
    <row r="82" spans="1:15" s="35" customFormat="1" ht="15.75" x14ac:dyDescent="0.25">
      <c r="A82" s="46" t="s">
        <v>116</v>
      </c>
      <c r="B82" s="44"/>
      <c r="C82" s="32">
        <v>-1260000</v>
      </c>
      <c r="D82" s="32">
        <f>C82-2604-1047114</f>
        <v>-2309718</v>
      </c>
      <c r="E82" s="32">
        <v>-1765110</v>
      </c>
      <c r="F82" s="32"/>
      <c r="G82" s="32">
        <f t="shared" ref="G82:G91" si="42">E82-D82</f>
        <v>544608</v>
      </c>
      <c r="H82" s="34"/>
      <c r="I82" s="34"/>
      <c r="J82" s="48"/>
      <c r="K82" s="51"/>
      <c r="L82" s="51"/>
      <c r="M82" s="51"/>
      <c r="N82" s="51"/>
      <c r="O82" s="51"/>
    </row>
    <row r="83" spans="1:15" s="35" customFormat="1" ht="15.75" x14ac:dyDescent="0.25">
      <c r="A83" s="46"/>
      <c r="B83" s="44" t="s">
        <v>10</v>
      </c>
      <c r="C83" s="32">
        <v>-1260000</v>
      </c>
      <c r="D83" s="32">
        <f>C83-2604-958800</f>
        <v>-2221404</v>
      </c>
      <c r="E83" s="32">
        <v>-1737924</v>
      </c>
      <c r="F83" s="32"/>
      <c r="G83" s="32">
        <f t="shared" si="42"/>
        <v>483480</v>
      </c>
      <c r="H83" s="34"/>
      <c r="I83" s="34"/>
      <c r="J83" s="55"/>
      <c r="K83" s="51"/>
      <c r="L83" s="51"/>
      <c r="M83" s="51"/>
      <c r="N83" s="51"/>
      <c r="O83" s="51"/>
    </row>
    <row r="84" spans="1:15" s="35" customFormat="1" ht="15.75" x14ac:dyDescent="0.25">
      <c r="A84" s="46" t="s">
        <v>117</v>
      </c>
      <c r="B84" s="44"/>
      <c r="C84" s="32">
        <v>-1011324</v>
      </c>
      <c r="D84" s="32">
        <f>C84-84285-44664-123954.48-1</f>
        <v>-1264228.48</v>
      </c>
      <c r="E84" s="32">
        <v>-1220846</v>
      </c>
      <c r="F84" s="32"/>
      <c r="G84" s="32">
        <f t="shared" si="42"/>
        <v>43382.479999999981</v>
      </c>
      <c r="H84" s="34"/>
      <c r="I84" s="34"/>
      <c r="J84" s="48"/>
      <c r="K84" s="51"/>
      <c r="L84" s="51"/>
      <c r="M84" s="51"/>
      <c r="N84" s="51"/>
      <c r="O84" s="51"/>
    </row>
    <row r="85" spans="1:15" s="35" customFormat="1" ht="15.75" x14ac:dyDescent="0.25">
      <c r="A85" s="46"/>
      <c r="B85" s="44" t="s">
        <v>10</v>
      </c>
      <c r="C85" s="32">
        <v>-413395</v>
      </c>
      <c r="D85" s="32">
        <f>C85-84285-46837</f>
        <v>-544517</v>
      </c>
      <c r="E85" s="32">
        <v>-542666.84</v>
      </c>
      <c r="F85" s="32"/>
      <c r="G85" s="32">
        <f t="shared" si="42"/>
        <v>1850.1600000000326</v>
      </c>
      <c r="H85" s="34"/>
      <c r="I85" s="34"/>
      <c r="J85" s="55"/>
      <c r="K85" s="51"/>
      <c r="L85" s="51"/>
      <c r="M85" s="51"/>
      <c r="N85" s="51"/>
      <c r="O85" s="51"/>
    </row>
    <row r="86" spans="1:15" s="35" customFormat="1" ht="15.75" x14ac:dyDescent="0.25">
      <c r="A86" s="46" t="s">
        <v>118</v>
      </c>
      <c r="B86" s="44"/>
      <c r="C86" s="32">
        <v>-7922065</v>
      </c>
      <c r="D86" s="32">
        <f>C86+303832-487236-104310.65</f>
        <v>-8209779.6500000004</v>
      </c>
      <c r="E86" s="32">
        <v>-7462306</v>
      </c>
      <c r="F86" s="32"/>
      <c r="G86" s="32">
        <f t="shared" si="42"/>
        <v>747473.65000000037</v>
      </c>
      <c r="H86" s="34"/>
      <c r="I86" s="34"/>
      <c r="J86" s="48"/>
      <c r="K86" s="51"/>
      <c r="L86" s="51"/>
      <c r="M86" s="51"/>
      <c r="N86" s="51"/>
      <c r="O86" s="51"/>
    </row>
    <row r="87" spans="1:15" s="35" customFormat="1" ht="15.75" x14ac:dyDescent="0.25">
      <c r="A87" s="46"/>
      <c r="B87" s="44" t="s">
        <v>10</v>
      </c>
      <c r="C87" s="32">
        <v>-7842341</v>
      </c>
      <c r="D87" s="32">
        <f>C87+303832-122082</f>
        <v>-7660591</v>
      </c>
      <c r="E87" s="32">
        <v>-7023691.5199999996</v>
      </c>
      <c r="F87" s="32"/>
      <c r="G87" s="32">
        <f t="shared" si="42"/>
        <v>636899.48000000045</v>
      </c>
      <c r="H87" s="34"/>
      <c r="I87" s="34" t="s">
        <v>130</v>
      </c>
      <c r="J87" s="55"/>
      <c r="K87" s="51"/>
      <c r="L87" s="51"/>
      <c r="M87" s="51"/>
      <c r="N87" s="51"/>
      <c r="O87" s="51"/>
    </row>
    <row r="88" spans="1:15" s="35" customFormat="1" ht="15.75" x14ac:dyDescent="0.25">
      <c r="A88" s="46" t="s">
        <v>119</v>
      </c>
      <c r="B88" s="44"/>
      <c r="C88" s="32">
        <v>-6064470</v>
      </c>
      <c r="D88" s="32">
        <f>C88-207833-116208-32465.42</f>
        <v>-6420976.4199999999</v>
      </c>
      <c r="E88" s="32">
        <v>-6388726</v>
      </c>
      <c r="F88" s="32"/>
      <c r="G88" s="32">
        <f t="shared" si="42"/>
        <v>32250.419999999925</v>
      </c>
      <c r="H88" s="34"/>
      <c r="I88" s="34"/>
      <c r="J88" s="48"/>
      <c r="K88" s="51"/>
      <c r="L88" s="51"/>
      <c r="M88" s="51"/>
      <c r="N88" s="51"/>
      <c r="O88" s="51"/>
    </row>
    <row r="89" spans="1:15" s="35" customFormat="1" ht="15.75" x14ac:dyDescent="0.25">
      <c r="A89" s="46"/>
      <c r="B89" s="44" t="s">
        <v>10</v>
      </c>
      <c r="C89" s="32">
        <v>-5988339</v>
      </c>
      <c r="D89" s="32">
        <f>C89-207833-163290</f>
        <v>-6359462</v>
      </c>
      <c r="E89" s="32">
        <v>-6332778.5700000003</v>
      </c>
      <c r="F89" s="32"/>
      <c r="G89" s="32">
        <f t="shared" si="42"/>
        <v>26683.429999999702</v>
      </c>
      <c r="H89" s="34"/>
      <c r="I89" s="34"/>
      <c r="J89" s="55"/>
      <c r="K89" s="51"/>
      <c r="L89" s="51"/>
      <c r="M89" s="51"/>
      <c r="N89" s="51"/>
      <c r="O89" s="51"/>
    </row>
    <row r="90" spans="1:15" s="35" customFormat="1" ht="15.75" x14ac:dyDescent="0.25">
      <c r="A90" s="46" t="s">
        <v>120</v>
      </c>
      <c r="B90" s="43"/>
      <c r="C90" s="32">
        <v>-6773674</v>
      </c>
      <c r="D90" s="32">
        <f>C90+243009-5072667+262124.53</f>
        <v>-11341207.470000001</v>
      </c>
      <c r="E90" s="32">
        <v>-8664070</v>
      </c>
      <c r="F90" s="32"/>
      <c r="G90" s="32">
        <f t="shared" si="42"/>
        <v>2677137.4700000007</v>
      </c>
      <c r="H90" s="34"/>
      <c r="I90" s="34"/>
      <c r="J90" s="48"/>
      <c r="K90" s="51"/>
      <c r="L90" s="51"/>
      <c r="M90" s="51"/>
      <c r="N90" s="51"/>
      <c r="O90" s="51"/>
    </row>
    <row r="91" spans="1:15" s="35" customFormat="1" ht="15.75" x14ac:dyDescent="0.25">
      <c r="A91" s="46"/>
      <c r="B91" s="44" t="s">
        <v>10</v>
      </c>
      <c r="C91" s="32">
        <v>-4492717</v>
      </c>
      <c r="D91" s="32">
        <f>C91+243009-1401620</f>
        <v>-5651328</v>
      </c>
      <c r="E91" s="32">
        <v>-4988855.58</v>
      </c>
      <c r="F91" s="32"/>
      <c r="G91" s="32">
        <f t="shared" si="42"/>
        <v>662472.41999999993</v>
      </c>
      <c r="H91" s="34"/>
      <c r="I91" s="34"/>
      <c r="J91" s="55"/>
      <c r="K91" s="51"/>
      <c r="L91" s="51"/>
      <c r="M91" s="51"/>
      <c r="N91" s="51"/>
      <c r="O91" s="51"/>
    </row>
    <row r="92" spans="1:15" ht="15.75" x14ac:dyDescent="0.25">
      <c r="A92" s="77" t="s">
        <v>31</v>
      </c>
      <c r="B92" s="78"/>
      <c r="C92" s="68">
        <f>C94+C96+C98+C100+C102+C104+C106</f>
        <v>-2120227316</v>
      </c>
      <c r="D92" s="68">
        <f>D94+D96+D98+D100+D102+D104+D106-1</f>
        <v>-2181642239.3499999</v>
      </c>
      <c r="E92" s="68">
        <f t="shared" ref="E92" si="43">E94+E96+E98+E100+E102+E104+E106</f>
        <v>-2175346750</v>
      </c>
      <c r="F92" s="68">
        <f>-2097279653.29-301746.23</f>
        <v>-2097581399.52</v>
      </c>
      <c r="G92" s="68">
        <f t="shared" ref="G92" si="44">G94+G96+G98+G100+G102+G104+G106</f>
        <v>6295488.3499999996</v>
      </c>
      <c r="J92" s="58"/>
      <c r="K92" s="53"/>
      <c r="L92" s="53"/>
      <c r="M92" s="53"/>
      <c r="N92" s="53"/>
      <c r="O92" s="53"/>
    </row>
    <row r="93" spans="1:15" s="35" customFormat="1" ht="15.75" x14ac:dyDescent="0.25">
      <c r="A93" s="43"/>
      <c r="B93" s="44" t="s">
        <v>10</v>
      </c>
      <c r="C93" s="32">
        <f>C95+C97+C99+C101+C103+C105+C107</f>
        <v>-239479161</v>
      </c>
      <c r="D93" s="32">
        <f t="shared" ref="D93:E93" si="45">D95+D97+D99+D101+D103+D105+D107</f>
        <v>-304627575</v>
      </c>
      <c r="E93" s="32">
        <f t="shared" si="45"/>
        <v>-244939321.16000003</v>
      </c>
      <c r="F93" s="32">
        <f>-327572709.28+3-317137.58</f>
        <v>-327889843.85999995</v>
      </c>
      <c r="G93" s="32">
        <f t="shared" ref="G93" si="46">G95+G97+G99+G101+G103+G105+G107</f>
        <v>59688253.840000004</v>
      </c>
      <c r="H93" s="34"/>
      <c r="I93" s="34"/>
      <c r="J93" s="55"/>
      <c r="K93" s="51"/>
      <c r="L93" s="51"/>
      <c r="M93" s="51"/>
      <c r="N93" s="51"/>
      <c r="O93" s="51"/>
    </row>
    <row r="94" spans="1:15" s="35" customFormat="1" ht="15.75" x14ac:dyDescent="0.25">
      <c r="A94" s="43" t="s">
        <v>121</v>
      </c>
      <c r="B94" s="44"/>
      <c r="C94" s="32">
        <v>-3938258</v>
      </c>
      <c r="D94" s="32">
        <f>C94-723481-2627804+23111.25</f>
        <v>-7266431.75</v>
      </c>
      <c r="E94" s="32">
        <v>-5490434</v>
      </c>
      <c r="F94" s="32"/>
      <c r="G94" s="32">
        <f t="shared" ref="G94:G107" si="47">E94-D94</f>
        <v>1775997.75</v>
      </c>
      <c r="H94" s="34"/>
      <c r="I94" s="34"/>
      <c r="J94" s="54"/>
      <c r="K94" s="51"/>
      <c r="L94" s="51"/>
      <c r="M94" s="51"/>
      <c r="N94" s="51"/>
      <c r="O94" s="51"/>
    </row>
    <row r="95" spans="1:15" s="35" customFormat="1" ht="15.75" x14ac:dyDescent="0.25">
      <c r="A95" s="43"/>
      <c r="B95" s="44" t="s">
        <v>10</v>
      </c>
      <c r="C95" s="32">
        <v>-2979495</v>
      </c>
      <c r="D95" s="32">
        <f>C95-723481-2492937</f>
        <v>-6195913</v>
      </c>
      <c r="E95" s="32">
        <v>-4236348.5</v>
      </c>
      <c r="F95" s="32"/>
      <c r="G95" s="32">
        <f t="shared" si="47"/>
        <v>1959564.5</v>
      </c>
      <c r="H95" s="34"/>
      <c r="I95" s="34"/>
      <c r="J95" s="55"/>
      <c r="K95" s="51"/>
      <c r="L95" s="51"/>
      <c r="M95" s="51"/>
      <c r="N95" s="51"/>
      <c r="O95" s="51"/>
    </row>
    <row r="96" spans="1:15" s="35" customFormat="1" ht="15.75" x14ac:dyDescent="0.25">
      <c r="A96" s="43" t="s">
        <v>122</v>
      </c>
      <c r="B96" s="44"/>
      <c r="C96" s="32">
        <v>-5123719</v>
      </c>
      <c r="D96" s="32">
        <f>C96-2699376+650316</f>
        <v>-7172779</v>
      </c>
      <c r="E96" s="32">
        <v>-3515263</v>
      </c>
      <c r="F96" s="32"/>
      <c r="G96" s="32">
        <f t="shared" si="47"/>
        <v>3657516</v>
      </c>
      <c r="H96" s="34"/>
      <c r="I96" s="34"/>
      <c r="J96" s="54"/>
      <c r="K96" s="51"/>
      <c r="L96" s="51"/>
      <c r="M96" s="51"/>
      <c r="N96" s="51"/>
      <c r="O96" s="51"/>
    </row>
    <row r="97" spans="1:15" s="35" customFormat="1" ht="15.75" x14ac:dyDescent="0.25">
      <c r="A97" s="43"/>
      <c r="B97" s="44" t="s">
        <v>10</v>
      </c>
      <c r="C97" s="32">
        <v>-3973719</v>
      </c>
      <c r="D97" s="32">
        <f>C97-2699376-349684</f>
        <v>-7022779</v>
      </c>
      <c r="E97" s="32">
        <v>-3203980.09</v>
      </c>
      <c r="F97" s="32"/>
      <c r="G97" s="32">
        <f t="shared" si="47"/>
        <v>3818798.91</v>
      </c>
      <c r="H97" s="34"/>
      <c r="I97" s="34"/>
      <c r="J97" s="55"/>
      <c r="K97" s="51"/>
      <c r="L97" s="51"/>
      <c r="M97" s="51"/>
      <c r="N97" s="51"/>
      <c r="O97" s="51"/>
    </row>
    <row r="98" spans="1:15" s="35" customFormat="1" ht="15.75" x14ac:dyDescent="0.25">
      <c r="A98" s="43" t="s">
        <v>123</v>
      </c>
      <c r="B98" s="44"/>
      <c r="C98" s="32">
        <v>-2064233739</v>
      </c>
      <c r="D98" s="32">
        <f>C98-34015154+16465775-54379.75</f>
        <v>-2081837497.75</v>
      </c>
      <c r="E98" s="32">
        <v>-2104386914</v>
      </c>
      <c r="F98" s="32"/>
      <c r="G98" s="32">
        <f t="shared" si="47"/>
        <v>-22549416.25</v>
      </c>
      <c r="H98" s="34"/>
      <c r="I98" s="34"/>
      <c r="J98" s="54"/>
      <c r="K98" s="51"/>
      <c r="L98" s="51"/>
      <c r="M98" s="51"/>
      <c r="N98" s="51"/>
      <c r="O98" s="51"/>
    </row>
    <row r="99" spans="1:15" s="35" customFormat="1" ht="15.75" x14ac:dyDescent="0.25">
      <c r="A99" s="43"/>
      <c r="B99" s="44" t="s">
        <v>10</v>
      </c>
      <c r="C99" s="32">
        <v>-189628408</v>
      </c>
      <c r="D99" s="32">
        <f>C99-18171970-28671607</f>
        <v>-236471985</v>
      </c>
      <c r="E99" s="32">
        <v>-200722778.63</v>
      </c>
      <c r="F99" s="32"/>
      <c r="G99" s="32">
        <f t="shared" si="47"/>
        <v>35749206.370000005</v>
      </c>
      <c r="H99" s="34"/>
      <c r="I99" s="34"/>
      <c r="J99" s="55"/>
      <c r="K99" s="51"/>
      <c r="L99" s="51"/>
      <c r="M99" s="51"/>
      <c r="N99" s="51"/>
      <c r="O99" s="51"/>
    </row>
    <row r="100" spans="1:15" s="35" customFormat="1" ht="15.75" x14ac:dyDescent="0.25">
      <c r="A100" s="43" t="s">
        <v>124</v>
      </c>
      <c r="B100" s="44"/>
      <c r="C100" s="32">
        <v>-2984259</v>
      </c>
      <c r="D100" s="32">
        <f>C100-533462-796553</f>
        <v>-4314274</v>
      </c>
      <c r="E100" s="32">
        <v>-2092860</v>
      </c>
      <c r="F100" s="32"/>
      <c r="G100" s="32">
        <f t="shared" si="47"/>
        <v>2221414</v>
      </c>
      <c r="H100" s="34"/>
      <c r="I100" s="34"/>
      <c r="J100" s="54"/>
      <c r="K100" s="51"/>
      <c r="L100" s="51"/>
      <c r="M100" s="51"/>
      <c r="N100" s="51"/>
      <c r="O100" s="51"/>
    </row>
    <row r="101" spans="1:15" s="35" customFormat="1" ht="15.75" x14ac:dyDescent="0.25">
      <c r="A101" s="43"/>
      <c r="B101" s="44" t="s">
        <v>10</v>
      </c>
      <c r="C101" s="32">
        <v>-1952889</v>
      </c>
      <c r="D101" s="32">
        <f>C101-533462-287995</f>
        <v>-2774346</v>
      </c>
      <c r="E101" s="32">
        <v>-1649061.87</v>
      </c>
      <c r="F101" s="32"/>
      <c r="G101" s="32">
        <f t="shared" si="47"/>
        <v>1125284.1299999999</v>
      </c>
      <c r="H101" s="34"/>
      <c r="I101" s="34"/>
      <c r="J101" s="55"/>
      <c r="K101" s="51"/>
      <c r="L101" s="51"/>
      <c r="M101" s="51"/>
      <c r="N101" s="51"/>
      <c r="O101" s="51"/>
    </row>
    <row r="102" spans="1:15" s="35" customFormat="1" ht="15.75" x14ac:dyDescent="0.25">
      <c r="A102" s="43" t="s">
        <v>125</v>
      </c>
      <c r="B102" s="44"/>
      <c r="C102" s="32">
        <v>-546505</v>
      </c>
      <c r="D102" s="32">
        <f>C102-53629-251949+7477.15+1</f>
        <v>-844604.85</v>
      </c>
      <c r="E102" s="32">
        <v>-677512</v>
      </c>
      <c r="F102" s="32"/>
      <c r="G102" s="32">
        <f t="shared" si="47"/>
        <v>167092.84999999998</v>
      </c>
      <c r="H102" s="34"/>
      <c r="I102" s="34"/>
      <c r="J102" s="54"/>
      <c r="K102" s="51"/>
      <c r="L102" s="51"/>
      <c r="M102" s="51"/>
      <c r="N102" s="51"/>
      <c r="O102" s="51"/>
    </row>
    <row r="103" spans="1:15" s="35" customFormat="1" ht="15.75" x14ac:dyDescent="0.25">
      <c r="A103" s="43"/>
      <c r="B103" s="44" t="s">
        <v>10</v>
      </c>
      <c r="C103" s="32">
        <v>-532439</v>
      </c>
      <c r="D103" s="32">
        <f>C103-53629-248237</f>
        <v>-834305</v>
      </c>
      <c r="E103" s="32">
        <v>-643806.21</v>
      </c>
      <c r="F103" s="32"/>
      <c r="G103" s="32">
        <f t="shared" si="47"/>
        <v>190498.79000000004</v>
      </c>
      <c r="H103" s="34"/>
      <c r="I103" s="34"/>
      <c r="J103" s="55"/>
      <c r="K103" s="51"/>
      <c r="L103" s="51"/>
      <c r="M103" s="51"/>
      <c r="N103" s="51"/>
      <c r="O103" s="51"/>
    </row>
    <row r="104" spans="1:15" s="35" customFormat="1" ht="15.75" x14ac:dyDescent="0.25">
      <c r="A104" s="43" t="s">
        <v>126</v>
      </c>
      <c r="B104" s="44"/>
      <c r="C104" s="32">
        <v>-6015584</v>
      </c>
      <c r="D104" s="32">
        <f>C104-150379-5151578</f>
        <v>-11317541</v>
      </c>
      <c r="E104" s="32">
        <v>-8217289</v>
      </c>
      <c r="F104" s="32"/>
      <c r="G104" s="32">
        <f t="shared" si="47"/>
        <v>3100252</v>
      </c>
      <c r="H104" s="34"/>
      <c r="I104" s="34"/>
      <c r="J104" s="54"/>
      <c r="K104" s="51"/>
      <c r="L104" s="51"/>
      <c r="M104" s="51"/>
      <c r="N104" s="51"/>
      <c r="O104" s="51"/>
    </row>
    <row r="105" spans="1:15" s="35" customFormat="1" ht="15.75" x14ac:dyDescent="0.25">
      <c r="A105" s="43"/>
      <c r="B105" s="44" t="s">
        <v>10</v>
      </c>
      <c r="C105" s="32">
        <v>-3347296</v>
      </c>
      <c r="D105" s="32">
        <f>C105-150379-649470</f>
        <v>-4147145</v>
      </c>
      <c r="E105" s="32">
        <v>-3907905.24</v>
      </c>
      <c r="F105" s="3"/>
      <c r="G105" s="3">
        <f t="shared" si="47"/>
        <v>239239.75999999978</v>
      </c>
      <c r="H105" s="34"/>
      <c r="I105" s="34"/>
      <c r="J105" s="55"/>
      <c r="K105" s="51"/>
      <c r="L105" s="51"/>
      <c r="M105" s="51"/>
      <c r="N105" s="51"/>
      <c r="O105" s="51"/>
    </row>
    <row r="106" spans="1:15" s="35" customFormat="1" ht="15.75" x14ac:dyDescent="0.25">
      <c r="A106" s="43" t="s">
        <v>127</v>
      </c>
      <c r="B106" s="44"/>
      <c r="C106" s="32">
        <v>-37385252</v>
      </c>
      <c r="D106" s="32">
        <f>C106+19938073-51441929-2</f>
        <v>-68889110</v>
      </c>
      <c r="E106" s="32">
        <v>-50966478</v>
      </c>
      <c r="F106" s="3"/>
      <c r="G106" s="3">
        <f t="shared" si="47"/>
        <v>17922632</v>
      </c>
      <c r="H106" s="34"/>
      <c r="I106" s="34"/>
      <c r="J106" s="54"/>
      <c r="K106" s="51"/>
      <c r="L106" s="51"/>
      <c r="M106" s="51"/>
      <c r="N106" s="51"/>
      <c r="O106" s="51"/>
    </row>
    <row r="107" spans="1:15" s="35" customFormat="1" ht="15.75" x14ac:dyDescent="0.25">
      <c r="A107" s="43"/>
      <c r="B107" s="44" t="s">
        <v>10</v>
      </c>
      <c r="C107" s="32">
        <v>-37064915</v>
      </c>
      <c r="D107" s="32">
        <f>C107+19938073-30054260</f>
        <v>-47181102</v>
      </c>
      <c r="E107" s="32">
        <v>-30575440.620000001</v>
      </c>
      <c r="F107" s="3"/>
      <c r="G107" s="3">
        <f t="shared" si="47"/>
        <v>16605661.379999999</v>
      </c>
      <c r="H107" s="34"/>
      <c r="I107" s="34"/>
      <c r="J107" s="55"/>
      <c r="K107" s="51"/>
      <c r="L107" s="51"/>
      <c r="M107" s="51"/>
      <c r="N107" s="51"/>
      <c r="O107" s="51"/>
    </row>
    <row r="108" spans="1:15" s="23" customFormat="1" ht="15.75" x14ac:dyDescent="0.25">
      <c r="A108" s="78" t="s">
        <v>71</v>
      </c>
      <c r="B108" s="69"/>
      <c r="C108" s="68">
        <v>-6685203</v>
      </c>
      <c r="D108" s="68">
        <f>C108-10313048-759001.24+1</f>
        <v>-17757251.239999998</v>
      </c>
      <c r="E108" s="68">
        <v>-12996397.529999999</v>
      </c>
      <c r="F108" s="68">
        <v>-6094639.4900000002</v>
      </c>
      <c r="G108" s="68">
        <f>E108-D108</f>
        <v>4760853.709999999</v>
      </c>
      <c r="H108" s="36"/>
      <c r="I108" s="36"/>
      <c r="J108" s="52"/>
      <c r="K108" s="53"/>
      <c r="L108" s="53"/>
      <c r="M108" s="53"/>
      <c r="N108" s="53"/>
      <c r="O108" s="53"/>
    </row>
    <row r="109" spans="1:15" s="23" customFormat="1" ht="15.75" x14ac:dyDescent="0.25">
      <c r="A109" s="69" t="s">
        <v>14</v>
      </c>
      <c r="B109" s="69"/>
      <c r="C109" s="68">
        <v>-5805839</v>
      </c>
      <c r="D109" s="68">
        <f>C109-2454357-4090977.67-1961300-907600-5928181.98-5105588.14+1</f>
        <v>-26253842.789999999</v>
      </c>
      <c r="E109" s="68">
        <f>-15370318.52-3003089.8</f>
        <v>-18373408.32</v>
      </c>
      <c r="F109" s="68">
        <f>-10959381.38-2178765.91</f>
        <v>-13138147.290000001</v>
      </c>
      <c r="G109" s="68">
        <f>E109-D109</f>
        <v>7880434.4699999988</v>
      </c>
      <c r="H109" s="64"/>
      <c r="I109" s="36"/>
      <c r="J109" s="50"/>
      <c r="K109" s="53"/>
      <c r="L109" s="53"/>
      <c r="M109" s="53"/>
      <c r="N109" s="53"/>
      <c r="O109" s="53"/>
    </row>
    <row r="110" spans="1:15" ht="15.75" x14ac:dyDescent="0.25">
      <c r="A110" s="43"/>
      <c r="B110" s="44" t="s">
        <v>10</v>
      </c>
      <c r="C110" s="32">
        <v>-3230819</v>
      </c>
      <c r="D110" s="32">
        <f>C110-2152957-4090977.67-1961300-907600+1</f>
        <v>-12343652.67</v>
      </c>
      <c r="E110" s="32">
        <v>-8550746.25</v>
      </c>
      <c r="F110" s="3">
        <v>-6345164.5499999998</v>
      </c>
      <c r="G110" s="3">
        <f t="shared" ref="G110:G111" si="48">E110-D110</f>
        <v>3792906.42</v>
      </c>
      <c r="J110" s="55"/>
      <c r="K110" s="51"/>
      <c r="L110" s="51"/>
      <c r="M110" s="51"/>
      <c r="N110" s="51"/>
      <c r="O110" s="51"/>
    </row>
    <row r="111" spans="1:15" ht="15.75" x14ac:dyDescent="0.25">
      <c r="A111" s="43"/>
      <c r="B111" s="44" t="s">
        <v>84</v>
      </c>
      <c r="C111" s="32">
        <v>-650004</v>
      </c>
      <c r="D111" s="32">
        <f>C111-301400-931254.73</f>
        <v>-1882658.73</v>
      </c>
      <c r="E111" s="32">
        <v>-3003089.8</v>
      </c>
      <c r="F111" s="3">
        <v>-2178765.91</v>
      </c>
      <c r="G111" s="3">
        <f t="shared" si="48"/>
        <v>-1120431.0699999998</v>
      </c>
      <c r="J111" s="55"/>
      <c r="K111" s="51"/>
      <c r="L111" s="51"/>
      <c r="M111" s="51"/>
      <c r="N111" s="51"/>
      <c r="O111" s="51"/>
    </row>
    <row r="112" spans="1:15" ht="15.75" x14ac:dyDescent="0.25">
      <c r="A112" s="79" t="s">
        <v>15</v>
      </c>
      <c r="B112" s="79"/>
      <c r="C112" s="68"/>
      <c r="D112" s="68"/>
      <c r="E112" s="68">
        <f>SUM(E113:E126)</f>
        <v>4547248773.8900003</v>
      </c>
      <c r="F112" s="68">
        <f>SUM(F113:F126)</f>
        <v>3962627552.1700006</v>
      </c>
      <c r="G112" s="68"/>
      <c r="J112" s="59"/>
      <c r="K112" s="51"/>
      <c r="L112" s="51"/>
      <c r="M112" s="53"/>
      <c r="N112" s="53"/>
      <c r="O112" s="51"/>
    </row>
    <row r="113" spans="1:15" ht="15.75" x14ac:dyDescent="0.25">
      <c r="A113" s="42"/>
      <c r="B113" s="45" t="s">
        <v>5</v>
      </c>
      <c r="C113" s="4"/>
      <c r="D113" s="4"/>
      <c r="E113" s="32">
        <f>4568400815.7+3648945.36-47934.81</f>
        <v>4572001826.249999</v>
      </c>
      <c r="F113" s="32">
        <f>4127632847.38-1143558.88+1735582.21</f>
        <v>4128224870.71</v>
      </c>
      <c r="G113" s="4"/>
      <c r="J113" s="60"/>
      <c r="K113" s="51"/>
      <c r="L113" s="51"/>
      <c r="M113" s="51"/>
      <c r="N113" s="51"/>
      <c r="O113" s="51"/>
    </row>
    <row r="114" spans="1:15" ht="15.75" x14ac:dyDescent="0.25">
      <c r="A114" s="43"/>
      <c r="B114" s="45" t="s">
        <v>18</v>
      </c>
      <c r="C114" s="3"/>
      <c r="D114" s="3"/>
      <c r="E114" s="32">
        <v>0</v>
      </c>
      <c r="F114" s="32">
        <v>0</v>
      </c>
      <c r="G114" s="3"/>
      <c r="J114" s="60"/>
      <c r="K114" s="51"/>
      <c r="L114" s="51"/>
      <c r="M114" s="51"/>
      <c r="N114" s="51"/>
      <c r="O114" s="51"/>
    </row>
    <row r="115" spans="1:15" ht="15.75" x14ac:dyDescent="0.25">
      <c r="A115" s="43"/>
      <c r="B115" s="45" t="s">
        <v>19</v>
      </c>
      <c r="C115" s="3"/>
      <c r="D115" s="3"/>
      <c r="E115" s="32">
        <f>-2345947446.55+2343276366.36-2076244.06+47934.81</f>
        <v>-4699389.4400000582</v>
      </c>
      <c r="F115" s="32">
        <f>-2004844141.85+1990288802.63+1143558.88</f>
        <v>-13411780.339999791</v>
      </c>
      <c r="G115" s="3"/>
      <c r="J115" s="60"/>
      <c r="K115" s="51"/>
      <c r="L115" s="51"/>
      <c r="M115" s="51"/>
      <c r="N115" s="51"/>
      <c r="O115" s="51"/>
    </row>
    <row r="116" spans="1:15" ht="15.75" x14ac:dyDescent="0.25">
      <c r="A116" s="43"/>
      <c r="B116" s="45" t="s">
        <v>32</v>
      </c>
      <c r="C116" s="3"/>
      <c r="D116" s="3"/>
      <c r="E116" s="32">
        <v>-68873464.239999995</v>
      </c>
      <c r="F116" s="3">
        <v>-61102853</v>
      </c>
      <c r="G116" s="3"/>
      <c r="J116" s="60"/>
      <c r="K116" s="51"/>
      <c r="L116" s="51"/>
      <c r="M116" s="51"/>
      <c r="N116" s="51"/>
      <c r="O116" s="51"/>
    </row>
    <row r="117" spans="1:15" ht="15.75" x14ac:dyDescent="0.25">
      <c r="A117" s="43"/>
      <c r="B117" s="45" t="s">
        <v>22</v>
      </c>
      <c r="C117" s="3"/>
      <c r="D117" s="3"/>
      <c r="E117" s="32">
        <v>720858.43</v>
      </c>
      <c r="F117" s="3">
        <v>458759.98</v>
      </c>
      <c r="G117" s="3"/>
      <c r="J117" s="60"/>
      <c r="K117" s="51"/>
      <c r="L117" s="51"/>
      <c r="M117" s="51"/>
      <c r="N117" s="51"/>
      <c r="O117" s="51"/>
    </row>
    <row r="118" spans="1:15" ht="15.75" x14ac:dyDescent="0.25">
      <c r="A118" s="43"/>
      <c r="B118" s="45" t="s">
        <v>75</v>
      </c>
      <c r="C118" s="3"/>
      <c r="D118" s="3"/>
      <c r="E118" s="32">
        <f>-171467.56-532639.81</f>
        <v>-704107.37000000011</v>
      </c>
      <c r="F118" s="3">
        <v>-583559.76</v>
      </c>
      <c r="G118" s="3"/>
      <c r="J118" s="60"/>
      <c r="K118" s="51"/>
      <c r="L118" s="51"/>
      <c r="M118" s="51"/>
      <c r="N118" s="51"/>
      <c r="O118" s="51"/>
    </row>
    <row r="119" spans="1:15" ht="15.75" x14ac:dyDescent="0.25">
      <c r="A119" s="43"/>
      <c r="B119" s="45" t="s">
        <v>76</v>
      </c>
      <c r="C119" s="3"/>
      <c r="D119" s="3"/>
      <c r="E119" s="32">
        <v>532639.81000000006</v>
      </c>
      <c r="F119" s="3">
        <v>439855.35</v>
      </c>
      <c r="G119" s="3"/>
      <c r="J119" s="60"/>
      <c r="K119" s="51"/>
      <c r="L119" s="51"/>
      <c r="M119" s="51"/>
      <c r="N119" s="51"/>
      <c r="O119" s="51"/>
    </row>
    <row r="120" spans="1:15" ht="15.75" x14ac:dyDescent="0.25">
      <c r="A120" s="43"/>
      <c r="B120" s="45" t="s">
        <v>11</v>
      </c>
      <c r="C120" s="3"/>
      <c r="D120" s="3"/>
      <c r="E120" s="32">
        <v>-118641.65</v>
      </c>
      <c r="F120" s="3">
        <v>0</v>
      </c>
      <c r="G120" s="3"/>
      <c r="J120" s="60"/>
      <c r="K120" s="51"/>
      <c r="L120" s="51"/>
      <c r="M120" s="51"/>
      <c r="N120" s="51"/>
      <c r="O120" s="51"/>
    </row>
    <row r="121" spans="1:15" ht="15.75" x14ac:dyDescent="0.25">
      <c r="A121" s="43"/>
      <c r="B121" s="45" t="s">
        <v>20</v>
      </c>
      <c r="C121" s="3"/>
      <c r="D121" s="3"/>
      <c r="E121" s="32">
        <v>1034.1099999999999</v>
      </c>
      <c r="F121" s="3">
        <v>3882.28</v>
      </c>
      <c r="G121" s="3"/>
      <c r="J121" s="60"/>
      <c r="K121" s="51"/>
      <c r="L121" s="51"/>
      <c r="M121" s="51"/>
      <c r="N121" s="51"/>
      <c r="O121" s="51"/>
    </row>
    <row r="122" spans="1:15" ht="15.75" x14ac:dyDescent="0.25">
      <c r="A122" s="43"/>
      <c r="B122" s="45" t="s">
        <v>21</v>
      </c>
      <c r="C122" s="3"/>
      <c r="D122" s="3"/>
      <c r="E122" s="32">
        <v>-1034.1099999999999</v>
      </c>
      <c r="F122" s="3">
        <v>-3882.28</v>
      </c>
      <c r="G122" s="3"/>
      <c r="J122" s="60"/>
      <c r="K122" s="51"/>
      <c r="L122" s="51"/>
      <c r="M122" s="51"/>
      <c r="N122" s="51"/>
      <c r="O122" s="51"/>
    </row>
    <row r="123" spans="1:15" ht="15.75" x14ac:dyDescent="0.25">
      <c r="A123" s="43"/>
      <c r="B123" s="45" t="s">
        <v>129</v>
      </c>
      <c r="C123" s="3"/>
      <c r="D123" s="3"/>
      <c r="E123" s="32">
        <v>-21590994.420000002</v>
      </c>
      <c r="F123" s="3">
        <v>-205487022.22</v>
      </c>
      <c r="G123" s="3"/>
      <c r="J123" s="60"/>
      <c r="K123" s="51"/>
      <c r="L123" s="51"/>
      <c r="M123" s="51"/>
      <c r="N123" s="51"/>
      <c r="O123" s="51"/>
    </row>
    <row r="124" spans="1:15" ht="15.75" x14ac:dyDescent="0.25">
      <c r="A124" s="43"/>
      <c r="B124" s="45" t="s">
        <v>74</v>
      </c>
      <c r="C124" s="3"/>
      <c r="D124" s="3"/>
      <c r="E124" s="32">
        <v>24358066.390000001</v>
      </c>
      <c r="F124" s="3">
        <v>79737595.299999997</v>
      </c>
      <c r="G124" s="3"/>
      <c r="J124" s="60"/>
      <c r="K124" s="51"/>
      <c r="L124" s="51"/>
      <c r="M124" s="51"/>
      <c r="N124" s="51"/>
      <c r="O124" s="51"/>
    </row>
    <row r="125" spans="1:15" ht="15.75" x14ac:dyDescent="0.25">
      <c r="A125" s="43"/>
      <c r="B125" s="45" t="s">
        <v>33</v>
      </c>
      <c r="C125" s="3"/>
      <c r="D125" s="3"/>
      <c r="E125" s="32">
        <v>-42851641</v>
      </c>
      <c r="F125" s="3">
        <v>-44084161</v>
      </c>
      <c r="G125" s="3"/>
      <c r="J125" s="60"/>
      <c r="K125" s="51"/>
      <c r="L125" s="51"/>
      <c r="M125" s="51"/>
      <c r="N125" s="51"/>
      <c r="O125" s="51"/>
    </row>
    <row r="126" spans="1:15" ht="15.75" x14ac:dyDescent="0.25">
      <c r="A126" s="43"/>
      <c r="B126" s="45" t="s">
        <v>34</v>
      </c>
      <c r="C126" s="3"/>
      <c r="D126" s="3"/>
      <c r="E126" s="32">
        <v>88473621.129999995</v>
      </c>
      <c r="F126" s="3">
        <v>78435847.150000006</v>
      </c>
      <c r="G126" s="3"/>
      <c r="J126" s="60"/>
      <c r="K126" s="51"/>
      <c r="L126" s="51"/>
      <c r="M126" s="51"/>
      <c r="N126" s="51"/>
      <c r="O126" s="51"/>
    </row>
    <row r="127" spans="1:15" ht="15.75" x14ac:dyDescent="0.25">
      <c r="A127" s="70"/>
      <c r="B127" s="71" t="s">
        <v>16</v>
      </c>
      <c r="C127" s="72"/>
      <c r="D127" s="73"/>
      <c r="E127" s="74">
        <v>-2151939846</v>
      </c>
      <c r="F127" s="74">
        <v>-2251239972</v>
      </c>
      <c r="G127" s="75"/>
      <c r="J127" s="61"/>
      <c r="K127" s="51"/>
      <c r="L127" s="51"/>
      <c r="M127" s="51"/>
      <c r="N127" s="51"/>
      <c r="O127" s="51"/>
    </row>
    <row r="128" spans="1:15" ht="15.75" x14ac:dyDescent="0.25">
      <c r="A128" s="70"/>
      <c r="B128" s="71" t="s">
        <v>131</v>
      </c>
      <c r="C128" s="72"/>
      <c r="D128" s="73"/>
      <c r="E128" s="74">
        <v>-2151939846.0900002</v>
      </c>
      <c r="F128" s="74">
        <v>-2251239972.2800002</v>
      </c>
      <c r="G128" s="75"/>
      <c r="J128" s="61"/>
      <c r="K128" s="51"/>
      <c r="L128" s="51"/>
      <c r="M128" s="51"/>
      <c r="N128" s="51"/>
      <c r="O128" s="5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C32"/>
  <sheetViews>
    <sheetView topLeftCell="A3" workbookViewId="0">
      <pane xSplit="1" ySplit="4" topLeftCell="B16" activePane="bottomRight" state="frozen"/>
      <selection activeCell="A3" sqref="A3"/>
      <selection pane="topRight" activeCell="B3" sqref="B3"/>
      <selection pane="bottomLeft" activeCell="A7" sqref="A7"/>
      <selection pane="bottomRight" activeCell="E30" sqref="E30"/>
    </sheetView>
  </sheetViews>
  <sheetFormatPr defaultRowHeight="15" x14ac:dyDescent="0.25"/>
  <cols>
    <col min="1" max="1" width="36.85546875" customWidth="1"/>
    <col min="2" max="2" width="13.5703125" customWidth="1"/>
    <col min="3" max="3" width="14" customWidth="1"/>
  </cols>
  <sheetData>
    <row r="1" spans="1:3" x14ac:dyDescent="0.25">
      <c r="A1" s="5" t="s">
        <v>35</v>
      </c>
      <c r="B1" s="1"/>
    </row>
    <row r="2" spans="1:3" x14ac:dyDescent="0.25">
      <c r="A2" s="5" t="s">
        <v>48</v>
      </c>
      <c r="C2" s="1"/>
    </row>
    <row r="3" spans="1:3" x14ac:dyDescent="0.25">
      <c r="A3" s="15" t="s">
        <v>132</v>
      </c>
      <c r="C3" s="14"/>
    </row>
    <row r="4" spans="1:3" x14ac:dyDescent="0.25">
      <c r="A4" s="5" t="s">
        <v>48</v>
      </c>
      <c r="B4" s="6"/>
      <c r="C4" s="6"/>
    </row>
    <row r="5" spans="1:3" x14ac:dyDescent="0.25">
      <c r="A5" s="5" t="s">
        <v>0</v>
      </c>
      <c r="B5" s="16"/>
      <c r="C5" s="16"/>
    </row>
    <row r="6" spans="1:3" ht="25.5" x14ac:dyDescent="0.25">
      <c r="A6" s="87"/>
      <c r="B6" s="91" t="s">
        <v>49</v>
      </c>
      <c r="C6" s="91" t="s">
        <v>88</v>
      </c>
    </row>
    <row r="7" spans="1:3" x14ac:dyDescent="0.25">
      <c r="A7" s="17" t="s">
        <v>50</v>
      </c>
      <c r="B7" s="18">
        <f>aruanne!C5</f>
        <v>186387218</v>
      </c>
      <c r="C7" s="18">
        <f>aruanne!C12+aruanne!C109</f>
        <v>-6729249645</v>
      </c>
    </row>
    <row r="8" spans="1:3" x14ac:dyDescent="0.25">
      <c r="A8" s="17" t="s">
        <v>51</v>
      </c>
      <c r="B8" s="18"/>
      <c r="C8" s="18">
        <v>-82514135</v>
      </c>
    </row>
    <row r="9" spans="1:3" x14ac:dyDescent="0.25">
      <c r="A9" s="17" t="s">
        <v>52</v>
      </c>
      <c r="B9" s="18"/>
      <c r="C9" s="18">
        <v>-192779831</v>
      </c>
    </row>
    <row r="10" spans="1:3" x14ac:dyDescent="0.25">
      <c r="A10" s="17" t="s">
        <v>53</v>
      </c>
      <c r="B10" s="18"/>
      <c r="C10" s="18">
        <v>218445</v>
      </c>
    </row>
    <row r="11" spans="1:3" x14ac:dyDescent="0.25">
      <c r="A11" s="19" t="s">
        <v>54</v>
      </c>
      <c r="B11" s="18"/>
      <c r="C11" s="18">
        <v>0</v>
      </c>
    </row>
    <row r="12" spans="1:3" x14ac:dyDescent="0.25">
      <c r="A12" s="19" t="s">
        <v>55</v>
      </c>
      <c r="B12" s="18"/>
      <c r="C12" s="18">
        <v>-37899563.5</v>
      </c>
    </row>
    <row r="13" spans="1:3" x14ac:dyDescent="0.25">
      <c r="A13" s="17" t="s">
        <v>56</v>
      </c>
      <c r="B13" s="18"/>
      <c r="C13" s="18">
        <v>186728500</v>
      </c>
    </row>
    <row r="14" spans="1:3" x14ac:dyDescent="0.25">
      <c r="A14" s="17" t="s">
        <v>57</v>
      </c>
      <c r="B14" s="18"/>
      <c r="C14" s="67">
        <f>-60548.01-159113613.86-182-3919.69</f>
        <v>-159178263.56</v>
      </c>
    </row>
    <row r="15" spans="1:3" x14ac:dyDescent="0.25">
      <c r="A15" s="17" t="s">
        <v>77</v>
      </c>
      <c r="B15" s="18"/>
      <c r="C15" s="67">
        <v>2103294</v>
      </c>
    </row>
    <row r="16" spans="1:3" x14ac:dyDescent="0.25">
      <c r="A16" s="17" t="s">
        <v>78</v>
      </c>
      <c r="B16" s="18"/>
      <c r="C16" s="67">
        <v>-7416104.1299999999</v>
      </c>
    </row>
    <row r="17" spans="1:3" x14ac:dyDescent="0.25">
      <c r="A17" s="17" t="s">
        <v>58</v>
      </c>
      <c r="B17" s="18"/>
      <c r="C17" s="67">
        <v>0</v>
      </c>
    </row>
    <row r="18" spans="1:3" x14ac:dyDescent="0.25">
      <c r="A18" s="17" t="s">
        <v>59</v>
      </c>
      <c r="B18" s="18"/>
      <c r="C18" s="67">
        <v>0</v>
      </c>
    </row>
    <row r="19" spans="1:3" x14ac:dyDescent="0.25">
      <c r="A19" s="17" t="s">
        <v>60</v>
      </c>
      <c r="B19" s="18"/>
      <c r="C19" s="67">
        <v>0</v>
      </c>
    </row>
    <row r="20" spans="1:3" x14ac:dyDescent="0.25">
      <c r="A20" s="17" t="s">
        <v>128</v>
      </c>
      <c r="B20" s="18"/>
      <c r="C20" s="67">
        <v>0</v>
      </c>
    </row>
    <row r="21" spans="1:3" x14ac:dyDescent="0.25">
      <c r="A21" s="17" t="s">
        <v>61</v>
      </c>
      <c r="B21" s="18"/>
      <c r="C21" s="67">
        <v>6062869</v>
      </c>
    </row>
    <row r="22" spans="1:3" x14ac:dyDescent="0.25">
      <c r="A22" s="17" t="s">
        <v>62</v>
      </c>
      <c r="B22" s="18"/>
      <c r="C22" s="67">
        <v>-8226344.8899999997</v>
      </c>
    </row>
    <row r="23" spans="1:3" x14ac:dyDescent="0.25">
      <c r="A23" s="17" t="s">
        <v>63</v>
      </c>
      <c r="B23" s="18"/>
      <c r="C23" s="67">
        <v>0</v>
      </c>
    </row>
    <row r="24" spans="1:3" x14ac:dyDescent="0.25">
      <c r="A24" s="17" t="s">
        <v>64</v>
      </c>
      <c r="B24" s="18"/>
      <c r="C24" s="67">
        <v>0</v>
      </c>
    </row>
    <row r="25" spans="1:3" x14ac:dyDescent="0.25">
      <c r="A25" s="17" t="s">
        <v>65</v>
      </c>
      <c r="B25" s="18"/>
      <c r="C25" s="67">
        <v>0</v>
      </c>
    </row>
    <row r="26" spans="1:3" x14ac:dyDescent="0.25">
      <c r="A26" s="17" t="s">
        <v>66</v>
      </c>
      <c r="B26" s="18"/>
      <c r="C26" s="67">
        <v>-649826</v>
      </c>
    </row>
    <row r="27" spans="1:3" x14ac:dyDescent="0.25">
      <c r="A27" s="17" t="s">
        <v>67</v>
      </c>
      <c r="B27" s="18"/>
      <c r="C27" s="18">
        <v>-14366354</v>
      </c>
    </row>
    <row r="28" spans="1:3" x14ac:dyDescent="0.25">
      <c r="A28" s="17" t="s">
        <v>68</v>
      </c>
      <c r="B28" s="18"/>
      <c r="C28" s="18">
        <v>0</v>
      </c>
    </row>
    <row r="29" spans="1:3" x14ac:dyDescent="0.25">
      <c r="A29" s="17" t="s">
        <v>69</v>
      </c>
      <c r="B29" s="18"/>
      <c r="C29" s="18">
        <v>0</v>
      </c>
    </row>
    <row r="30" spans="1:3" x14ac:dyDescent="0.25">
      <c r="A30" s="20" t="s">
        <v>70</v>
      </c>
      <c r="B30" s="21">
        <f t="shared" ref="B30:C30" si="0">SUM(B7:B29)</f>
        <v>186387218</v>
      </c>
      <c r="C30" s="21">
        <f t="shared" si="0"/>
        <v>-7037166959.0800009</v>
      </c>
    </row>
    <row r="31" spans="1:3" x14ac:dyDescent="0.25">
      <c r="A31" s="22" t="s">
        <v>16</v>
      </c>
      <c r="B31" s="22">
        <f>aruanne!D5</f>
        <v>186387218</v>
      </c>
      <c r="C31" s="22">
        <v>-7037166959</v>
      </c>
    </row>
    <row r="32" spans="1:3" x14ac:dyDescent="0.25">
      <c r="A32" s="22"/>
      <c r="B32" s="22">
        <f t="shared" ref="B32:C32" si="1">B30-B31</f>
        <v>0</v>
      </c>
      <c r="C32" s="22">
        <f t="shared" si="1"/>
        <v>-8.0000877380371094E-2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20"/>
  <sheetViews>
    <sheetView workbookViewId="0"/>
  </sheetViews>
  <sheetFormatPr defaultRowHeight="15" x14ac:dyDescent="0.25"/>
  <cols>
    <col min="1" max="1" width="20.85546875" customWidth="1"/>
    <col min="2" max="2" width="39.140625" customWidth="1"/>
    <col min="3" max="4" width="16.140625" style="25" bestFit="1" customWidth="1"/>
    <col min="5" max="5" width="15.85546875" style="25" bestFit="1" customWidth="1"/>
    <col min="6" max="6" width="9.140625" style="11"/>
    <col min="7" max="8" width="16" style="11" bestFit="1" customWidth="1"/>
    <col min="9" max="9" width="15.85546875" style="11" bestFit="1" customWidth="1"/>
    <col min="11" max="11" width="13.28515625" bestFit="1" customWidth="1"/>
    <col min="13" max="13" width="14.28515625" bestFit="1" customWidth="1"/>
    <col min="14" max="14" width="10.7109375" bestFit="1" customWidth="1"/>
    <col min="15" max="15" width="13.28515625" customWidth="1"/>
  </cols>
  <sheetData>
    <row r="1" spans="1:15" x14ac:dyDescent="0.25">
      <c r="A1" s="5" t="s">
        <v>133</v>
      </c>
      <c r="B1" s="30"/>
      <c r="C1" s="31"/>
      <c r="D1" s="28"/>
      <c r="E1" s="28"/>
      <c r="F1" s="7"/>
      <c r="G1" s="8"/>
      <c r="H1" s="9"/>
      <c r="I1" s="10"/>
      <c r="J1" s="11"/>
    </row>
    <row r="2" spans="1:15" x14ac:dyDescent="0.25">
      <c r="A2" s="5" t="s">
        <v>36</v>
      </c>
      <c r="B2" s="6"/>
      <c r="C2" s="28"/>
      <c r="D2" s="28"/>
      <c r="E2" s="28"/>
      <c r="F2" s="7"/>
      <c r="G2" s="8"/>
      <c r="H2" s="9"/>
      <c r="I2" s="9"/>
      <c r="J2" s="11"/>
    </row>
    <row r="3" spans="1:15" x14ac:dyDescent="0.25">
      <c r="A3" s="5"/>
      <c r="B3" s="6"/>
      <c r="C3" s="29">
        <f>SUBTOTAL(9,C5:C20)</f>
        <v>-2167310164.6100001</v>
      </c>
      <c r="D3" s="29">
        <f>SUBTOTAL(9,D5:D20)</f>
        <v>-2167310164.6100016</v>
      </c>
      <c r="E3" s="29">
        <f>SUBTOTAL(9,E5:E20)</f>
        <v>4.5634806156158447E-7</v>
      </c>
      <c r="F3" s="7"/>
      <c r="G3" s="9">
        <f>SUBTOTAL(9,G5:G20)</f>
        <v>-2262199353.2799997</v>
      </c>
      <c r="H3" s="9">
        <f>SUBTOTAL(9,H5:H20)</f>
        <v>-2262199353.9399991</v>
      </c>
      <c r="I3" s="9">
        <f>SUBTOTAL(9,I5:I20)</f>
        <v>0.65999931376427412</v>
      </c>
    </row>
    <row r="4" spans="1:15" ht="25.5" x14ac:dyDescent="0.25">
      <c r="A4" s="87"/>
      <c r="B4" s="87" t="s">
        <v>37</v>
      </c>
      <c r="C4" s="88" t="s">
        <v>81</v>
      </c>
      <c r="D4" s="88" t="s">
        <v>82</v>
      </c>
      <c r="E4" s="88" t="s">
        <v>83</v>
      </c>
      <c r="F4" s="89" t="s">
        <v>41</v>
      </c>
      <c r="G4" s="90" t="s">
        <v>38</v>
      </c>
      <c r="H4" s="90" t="s">
        <v>39</v>
      </c>
      <c r="I4" s="90" t="s">
        <v>40</v>
      </c>
      <c r="J4" s="87" t="s">
        <v>41</v>
      </c>
    </row>
    <row r="5" spans="1:15" x14ac:dyDescent="0.25">
      <c r="A5" t="s">
        <v>47</v>
      </c>
      <c r="B5" s="12" t="s">
        <v>5</v>
      </c>
      <c r="C5" s="66">
        <f>4568400815.7+3648945.36-47934.81</f>
        <v>4572001826.249999</v>
      </c>
      <c r="D5" s="9">
        <f>aruanne!E113</f>
        <v>4572001826.249999</v>
      </c>
      <c r="E5" s="9">
        <f t="shared" ref="E5:E20" si="0">C5-D5</f>
        <v>0</v>
      </c>
      <c r="G5" s="25">
        <v>4128224870.71</v>
      </c>
      <c r="H5" s="9">
        <f>aruanne!F113</f>
        <v>4128224870.71</v>
      </c>
      <c r="I5" s="9">
        <f t="shared" ref="I5:I20" si="1">G5-H5</f>
        <v>0</v>
      </c>
      <c r="M5" s="25"/>
      <c r="N5" s="11"/>
      <c r="O5" s="11"/>
    </row>
    <row r="6" spans="1:15" x14ac:dyDescent="0.25">
      <c r="A6" t="s">
        <v>47</v>
      </c>
      <c r="B6" t="s">
        <v>7</v>
      </c>
      <c r="C6" s="25">
        <v>336419.51</v>
      </c>
      <c r="D6" s="9">
        <f>aruanne!E6</f>
        <v>336439.51</v>
      </c>
      <c r="E6" s="9">
        <f t="shared" si="0"/>
        <v>-20</v>
      </c>
      <c r="G6" s="25">
        <v>393604.23</v>
      </c>
      <c r="H6" s="9">
        <f>aruanne!F6</f>
        <v>393604.23</v>
      </c>
      <c r="I6" s="9">
        <f t="shared" si="1"/>
        <v>0</v>
      </c>
      <c r="J6" s="11"/>
      <c r="O6" s="11"/>
    </row>
    <row r="7" spans="1:15" x14ac:dyDescent="0.25">
      <c r="A7" t="s">
        <v>47</v>
      </c>
      <c r="B7" t="s">
        <v>8</v>
      </c>
      <c r="C7" s="25">
        <f>7987582.35</f>
        <v>7987582.3499999996</v>
      </c>
      <c r="D7" s="9">
        <f>aruanne!E7+aruanne!E121</f>
        <v>8224565.370000001</v>
      </c>
      <c r="E7" s="9">
        <f t="shared" si="0"/>
        <v>-236983.02000000142</v>
      </c>
      <c r="G7" s="25">
        <v>6515171.8399999999</v>
      </c>
      <c r="H7" s="9">
        <f>aruanne!F7+aruanne!F121</f>
        <v>6737993.2800000003</v>
      </c>
      <c r="I7" s="9">
        <f t="shared" si="1"/>
        <v>-222821.44000000041</v>
      </c>
      <c r="J7" s="11"/>
      <c r="O7" s="11"/>
    </row>
    <row r="8" spans="1:15" x14ac:dyDescent="0.25">
      <c r="A8" t="s">
        <v>47</v>
      </c>
      <c r="B8" t="s">
        <v>6</v>
      </c>
      <c r="C8" s="25">
        <v>147410909.28</v>
      </c>
      <c r="D8" s="9">
        <f>aruanne!E8+aruanne!E117+aruanne!E119</f>
        <v>147410909.28</v>
      </c>
      <c r="E8" s="9">
        <f t="shared" si="0"/>
        <v>0</v>
      </c>
      <c r="G8" s="25">
        <v>153555647.66999999</v>
      </c>
      <c r="H8" s="9">
        <f>aruanne!F8+aruanne!F117+aruanne!F119</f>
        <v>153555647.66999999</v>
      </c>
      <c r="I8" s="9">
        <f t="shared" si="1"/>
        <v>0</v>
      </c>
      <c r="J8" s="11"/>
      <c r="O8" s="11"/>
    </row>
    <row r="9" spans="1:15" x14ac:dyDescent="0.25">
      <c r="A9" t="s">
        <v>47</v>
      </c>
      <c r="B9" t="s">
        <v>87</v>
      </c>
      <c r="C9" s="25">
        <v>0</v>
      </c>
      <c r="D9" s="9">
        <f>aruanne!E9</f>
        <v>0</v>
      </c>
      <c r="E9" s="9">
        <f t="shared" si="0"/>
        <v>0</v>
      </c>
      <c r="G9" s="25">
        <v>20756.86</v>
      </c>
      <c r="H9" s="9">
        <f>aruanne!F9</f>
        <v>20756.86</v>
      </c>
      <c r="I9" s="9">
        <f t="shared" si="1"/>
        <v>0</v>
      </c>
      <c r="J9" s="11"/>
      <c r="O9" s="11"/>
    </row>
    <row r="10" spans="1:15" x14ac:dyDescent="0.25">
      <c r="A10" t="s">
        <v>47</v>
      </c>
      <c r="B10" t="s">
        <v>9</v>
      </c>
      <c r="C10" s="25">
        <v>38986.04</v>
      </c>
      <c r="D10" s="9">
        <f>aruanne!E10</f>
        <v>38986.04</v>
      </c>
      <c r="E10" s="9">
        <f t="shared" si="0"/>
        <v>0</v>
      </c>
      <c r="G10" s="25">
        <v>58761.2</v>
      </c>
      <c r="H10" s="9">
        <f>aruanne!F10</f>
        <v>58761.2</v>
      </c>
      <c r="I10" s="9">
        <f t="shared" si="1"/>
        <v>0</v>
      </c>
      <c r="J10" s="11"/>
      <c r="O10" s="11"/>
    </row>
    <row r="11" spans="1:15" x14ac:dyDescent="0.25">
      <c r="A11" t="s">
        <v>47</v>
      </c>
      <c r="B11" t="s">
        <v>73</v>
      </c>
      <c r="C11" s="25">
        <f>756038.37+135.05</f>
        <v>756173.42</v>
      </c>
      <c r="D11" s="9">
        <f>aruanne!E11</f>
        <v>756173.42</v>
      </c>
      <c r="E11" s="9">
        <f t="shared" si="0"/>
        <v>0</v>
      </c>
      <c r="G11" s="25">
        <f>7794.53+689788.06</f>
        <v>697582.59000000008</v>
      </c>
      <c r="H11" s="9">
        <f>aruanne!F11</f>
        <v>697582.59000000008</v>
      </c>
      <c r="I11" s="9">
        <f t="shared" si="1"/>
        <v>0</v>
      </c>
      <c r="J11" s="11"/>
      <c r="O11" s="11"/>
    </row>
    <row r="12" spans="1:15" x14ac:dyDescent="0.25">
      <c r="A12" t="s">
        <v>47</v>
      </c>
      <c r="B12" t="s">
        <v>44</v>
      </c>
      <c r="C12" s="25">
        <v>237003.02</v>
      </c>
      <c r="D12" s="9"/>
      <c r="E12" s="9">
        <f t="shared" si="0"/>
        <v>237003.02</v>
      </c>
      <c r="G12" s="25">
        <v>222821.44</v>
      </c>
      <c r="H12" s="9"/>
      <c r="I12" s="9">
        <f t="shared" si="1"/>
        <v>222821.44</v>
      </c>
      <c r="J12" s="11"/>
      <c r="O12" s="11"/>
    </row>
    <row r="13" spans="1:15" x14ac:dyDescent="0.25">
      <c r="A13" t="s">
        <v>47</v>
      </c>
      <c r="B13" t="s">
        <v>42</v>
      </c>
      <c r="D13" s="9">
        <f>aruanne!E114</f>
        <v>0</v>
      </c>
      <c r="E13" s="9">
        <f t="shared" si="0"/>
        <v>0</v>
      </c>
      <c r="G13" s="25"/>
      <c r="H13" s="9">
        <f>aruanne!F114</f>
        <v>0</v>
      </c>
      <c r="I13" s="9">
        <f t="shared" si="1"/>
        <v>0</v>
      </c>
      <c r="O13" s="11"/>
    </row>
    <row r="14" spans="1:15" x14ac:dyDescent="0.25">
      <c r="A14" t="s">
        <v>47</v>
      </c>
      <c r="B14" t="s">
        <v>86</v>
      </c>
      <c r="C14" s="66">
        <f>-6809569969.45-C17-C19-2076244.06+47934.81</f>
        <v>-6795598791.3699999</v>
      </c>
      <c r="D14" s="9">
        <v>-6795835794.3900003</v>
      </c>
      <c r="E14" s="9">
        <f t="shared" si="0"/>
        <v>237003.02000045776</v>
      </c>
      <c r="G14" s="25">
        <f>-6479603514.38-G17-G19</f>
        <v>-6471330108.9800005</v>
      </c>
      <c r="H14" s="9">
        <v>-6471552930.6999998</v>
      </c>
      <c r="I14" s="9">
        <f t="shared" si="1"/>
        <v>222821.71999931335</v>
      </c>
      <c r="O14" s="11"/>
    </row>
    <row r="15" spans="1:15" x14ac:dyDescent="0.25">
      <c r="A15" t="s">
        <v>47</v>
      </c>
      <c r="B15" t="s">
        <v>45</v>
      </c>
      <c r="C15" s="25">
        <v>-237003.02</v>
      </c>
      <c r="D15" s="9"/>
      <c r="E15" s="9">
        <f t="shared" si="0"/>
        <v>-237003.02</v>
      </c>
      <c r="G15" s="25">
        <v>-222821.44</v>
      </c>
      <c r="H15" s="9"/>
      <c r="I15" s="9">
        <f t="shared" si="1"/>
        <v>-222821.44</v>
      </c>
      <c r="O15" s="11"/>
    </row>
    <row r="16" spans="1:15" x14ac:dyDescent="0.25">
      <c r="A16" t="s">
        <v>47</v>
      </c>
      <c r="B16" t="s">
        <v>43</v>
      </c>
      <c r="C16" s="25">
        <v>-68873464.239999995</v>
      </c>
      <c r="D16" s="9">
        <f>aruanne!E116</f>
        <v>-68873464.239999995</v>
      </c>
      <c r="E16" s="9">
        <f t="shared" si="0"/>
        <v>0</v>
      </c>
      <c r="G16" s="25">
        <v>-61102853</v>
      </c>
      <c r="H16" s="9">
        <f>aruanne!F116</f>
        <v>-61102853</v>
      </c>
      <c r="I16" s="9">
        <f t="shared" si="1"/>
        <v>0</v>
      </c>
      <c r="O16" s="11"/>
    </row>
    <row r="17" spans="1:15" x14ac:dyDescent="0.25">
      <c r="A17" t="s">
        <v>47</v>
      </c>
      <c r="B17" s="12" t="s">
        <v>72</v>
      </c>
      <c r="C17" s="25">
        <v>-12996397.529999999</v>
      </c>
      <c r="D17" s="9">
        <f>aruanne!E108</f>
        <v>-12996397.529999999</v>
      </c>
      <c r="E17" s="9">
        <f t="shared" si="0"/>
        <v>0</v>
      </c>
      <c r="F17" s="13"/>
      <c r="G17" s="25">
        <f>-6094639.49</f>
        <v>-6094639.4900000002</v>
      </c>
      <c r="H17" s="9">
        <f>aruanne!F108</f>
        <v>-6094639.4900000002</v>
      </c>
      <c r="I17" s="9">
        <f t="shared" si="1"/>
        <v>0</v>
      </c>
      <c r="O17" s="11"/>
    </row>
    <row r="18" spans="1:15" x14ac:dyDescent="0.25">
      <c r="A18" t="s">
        <v>47</v>
      </c>
      <c r="B18" s="12" t="s">
        <v>17</v>
      </c>
      <c r="C18" s="25">
        <f>-4215073.38-11155245.14</f>
        <v>-15370318.52</v>
      </c>
      <c r="D18" s="9">
        <f>aruanne!E109-aruanne!E111</f>
        <v>-15370318.52</v>
      </c>
      <c r="E18" s="9">
        <f t="shared" si="0"/>
        <v>0</v>
      </c>
      <c r="F18" s="13"/>
      <c r="G18" s="25">
        <f>-1168413.02-9790967.98</f>
        <v>-10959381</v>
      </c>
      <c r="H18" s="9">
        <f>aruanne!F109-aruanne!F111</f>
        <v>-10959381.380000001</v>
      </c>
      <c r="I18" s="9">
        <f t="shared" si="1"/>
        <v>0.38000000081956387</v>
      </c>
      <c r="O18" s="11"/>
    </row>
    <row r="19" spans="1:15" x14ac:dyDescent="0.25">
      <c r="A19" t="s">
        <v>47</v>
      </c>
      <c r="B19" s="12" t="s">
        <v>85</v>
      </c>
      <c r="C19" s="25">
        <v>-3003089.8</v>
      </c>
      <c r="D19" s="9">
        <f>aruanne!E111</f>
        <v>-3003089.8</v>
      </c>
      <c r="E19" s="9">
        <f t="shared" si="0"/>
        <v>0</v>
      </c>
      <c r="F19" s="13"/>
      <c r="G19" s="25">
        <v>-2178765.91</v>
      </c>
      <c r="H19" s="9">
        <f>aruanne!F111</f>
        <v>-2178765.91</v>
      </c>
      <c r="I19" s="9">
        <f t="shared" si="1"/>
        <v>0</v>
      </c>
      <c r="O19" s="11"/>
    </row>
    <row r="20" spans="1:15" x14ac:dyDescent="0.25">
      <c r="A20" t="s">
        <v>47</v>
      </c>
      <c r="B20" t="s">
        <v>46</v>
      </c>
      <c r="D20" s="9">
        <v>0</v>
      </c>
      <c r="E20" s="9">
        <f t="shared" si="0"/>
        <v>0</v>
      </c>
      <c r="G20" s="25"/>
      <c r="H20" s="9">
        <v>0</v>
      </c>
      <c r="I20" s="9">
        <f t="shared" si="1"/>
        <v>0</v>
      </c>
      <c r="O2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aruanne</vt:lpstr>
      <vt:lpstr>Lisa1</vt:lpstr>
      <vt:lpstr>Lisa2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Lia Hussar</cp:lastModifiedBy>
  <dcterms:created xsi:type="dcterms:W3CDTF">2022-02-14T16:37:54Z</dcterms:created>
  <dcterms:modified xsi:type="dcterms:W3CDTF">2023-06-20T06:35:07Z</dcterms:modified>
</cp:coreProperties>
</file>